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samueldrack/Desktop/Wohnsteuerreform/"/>
    </mc:Choice>
  </mc:AlternateContent>
  <bookViews>
    <workbookView xWindow="680" yWindow="440" windowWidth="30480" windowHeight="14340" activeTab="5"/>
  </bookViews>
  <sheets>
    <sheet name="Delta-Rechner" sheetId="1" r:id="rId1"/>
    <sheet name="Kantone" sheetId="2" r:id="rId2"/>
    <sheet name="AG (F)" sheetId="5" r:id="rId3"/>
    <sheet name="BE (F)" sheetId="6" r:id="rId4"/>
    <sheet name="BS (F)" sheetId="8" r:id="rId5"/>
    <sheet name="SH" sheetId="14" r:id="rId6"/>
    <sheet name="ZG (F)" sheetId="9" r:id="rId7"/>
    <sheet name="LU (F)" sheetId="10" r:id="rId8"/>
    <sheet name="BL (U)" sheetId="11" r:id="rId9"/>
    <sheet name="Tabelle1" sheetId="12" r:id="rId10"/>
    <sheet name="ZH (F)" sheetId="7" r:id="rId11"/>
    <sheet name="SZ (F)" sheetId="13" r:id="rId12"/>
    <sheet name="Änderungsliste" sheetId="3" r:id="rId1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" i="14" l="1"/>
  <c r="O9" i="14"/>
  <c r="O10" i="14"/>
  <c r="O11" i="14"/>
  <c r="O12" i="14"/>
  <c r="O13" i="14"/>
  <c r="O14" i="14"/>
  <c r="O15" i="14"/>
  <c r="O16" i="14"/>
  <c r="O17" i="14"/>
  <c r="O18" i="14"/>
  <c r="O19" i="14"/>
  <c r="O20" i="14"/>
  <c r="O8" i="14"/>
  <c r="F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8" i="14"/>
  <c r="K25" i="14"/>
  <c r="L8" i="14"/>
  <c r="N8" i="14"/>
  <c r="L9" i="14"/>
  <c r="N9" i="14"/>
  <c r="L10" i="14"/>
  <c r="N10" i="14"/>
  <c r="L11" i="14"/>
  <c r="N11" i="14"/>
  <c r="L12" i="14"/>
  <c r="N12" i="14"/>
  <c r="L13" i="14"/>
  <c r="N13" i="14"/>
  <c r="L14" i="14"/>
  <c r="N14" i="14"/>
  <c r="L15" i="14"/>
  <c r="N15" i="14"/>
  <c r="L16" i="14"/>
  <c r="N16" i="14"/>
  <c r="L17" i="14"/>
  <c r="N17" i="14"/>
  <c r="L18" i="14"/>
  <c r="N18" i="14"/>
  <c r="L19" i="14"/>
  <c r="N19" i="14"/>
  <c r="L20" i="14"/>
  <c r="N20" i="14"/>
  <c r="G21" i="14"/>
  <c r="G18" i="14"/>
  <c r="C8" i="14"/>
  <c r="G8" i="14"/>
  <c r="C9" i="14"/>
  <c r="G9" i="14"/>
  <c r="C10" i="14"/>
  <c r="G10" i="14"/>
  <c r="C11" i="14"/>
  <c r="G11" i="14"/>
  <c r="C12" i="14"/>
  <c r="G12" i="14"/>
  <c r="C13" i="14"/>
  <c r="G13" i="14"/>
  <c r="C14" i="14"/>
  <c r="G14" i="14"/>
  <c r="C15" i="14"/>
  <c r="G15" i="14"/>
  <c r="C16" i="14"/>
  <c r="G16" i="14"/>
  <c r="C17" i="14"/>
  <c r="G17" i="14"/>
  <c r="C18" i="14"/>
  <c r="C19" i="14"/>
  <c r="G19" i="14"/>
  <c r="C20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F19" i="14"/>
  <c r="G20" i="14"/>
  <c r="E20" i="14"/>
  <c r="F20" i="14"/>
  <c r="B25" i="14"/>
  <c r="F18" i="14"/>
  <c r="F17" i="14"/>
  <c r="F16" i="14"/>
  <c r="F15" i="14"/>
  <c r="F14" i="14"/>
  <c r="F13" i="14"/>
  <c r="F12" i="14"/>
  <c r="F11" i="14"/>
  <c r="F10" i="14"/>
  <c r="F9" i="14"/>
  <c r="I45" i="13"/>
  <c r="L42" i="13"/>
  <c r="B45" i="13"/>
  <c r="E42" i="13"/>
  <c r="E36" i="13"/>
  <c r="E37" i="13"/>
  <c r="E38" i="13"/>
  <c r="E39" i="13"/>
  <c r="E40" i="13"/>
  <c r="E41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L39" i="13"/>
  <c r="L40" i="13"/>
  <c r="L41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10" i="13"/>
  <c r="L8" i="13"/>
  <c r="E10" i="13"/>
  <c r="E8" i="13"/>
  <c r="G8" i="11"/>
  <c r="G7" i="11"/>
  <c r="G6" i="11"/>
  <c r="C16" i="6"/>
  <c r="C17" i="6"/>
  <c r="G17" i="6"/>
  <c r="C17" i="9"/>
  <c r="C18" i="9"/>
  <c r="G18" i="9"/>
  <c r="C15" i="10"/>
  <c r="C16" i="10"/>
  <c r="E8" i="10"/>
  <c r="E9" i="10"/>
  <c r="E10" i="10"/>
  <c r="E11" i="10"/>
  <c r="E12" i="10"/>
  <c r="E13" i="10"/>
  <c r="E14" i="10"/>
  <c r="E15" i="10"/>
  <c r="F15" i="10"/>
  <c r="G16" i="10"/>
  <c r="K8" i="10"/>
  <c r="O8" i="10"/>
  <c r="K9" i="10"/>
  <c r="O9" i="10"/>
  <c r="K10" i="10"/>
  <c r="O10" i="10"/>
  <c r="K11" i="10"/>
  <c r="O11" i="10"/>
  <c r="K12" i="10"/>
  <c r="O12" i="10"/>
  <c r="K13" i="10"/>
  <c r="O13" i="10"/>
  <c r="K14" i="10"/>
  <c r="O14" i="10"/>
  <c r="K15" i="10"/>
  <c r="O15" i="10"/>
  <c r="K16" i="10"/>
  <c r="K17" i="10"/>
  <c r="O17" i="10"/>
  <c r="M8" i="10"/>
  <c r="M9" i="10"/>
  <c r="M10" i="10"/>
  <c r="M11" i="10"/>
  <c r="M12" i="10"/>
  <c r="M13" i="10"/>
  <c r="M14" i="10"/>
  <c r="M15" i="10"/>
  <c r="N15" i="10"/>
  <c r="O16" i="10"/>
  <c r="O18" i="10"/>
  <c r="M17" i="10"/>
  <c r="N14" i="10"/>
  <c r="J24" i="10"/>
  <c r="M16" i="10"/>
  <c r="N17" i="10"/>
  <c r="N16" i="10"/>
  <c r="N13" i="10"/>
  <c r="N12" i="10"/>
  <c r="N11" i="10"/>
  <c r="N10" i="10"/>
  <c r="N9" i="10"/>
  <c r="N8" i="10"/>
  <c r="C18" i="10"/>
  <c r="G19" i="10"/>
  <c r="C8" i="10"/>
  <c r="G8" i="10"/>
  <c r="C9" i="10"/>
  <c r="G9" i="10"/>
  <c r="C10" i="10"/>
  <c r="G10" i="10"/>
  <c r="C11" i="10"/>
  <c r="G11" i="10"/>
  <c r="C12" i="10"/>
  <c r="G12" i="10"/>
  <c r="C13" i="10"/>
  <c r="G13" i="10"/>
  <c r="C14" i="10"/>
  <c r="G14" i="10"/>
  <c r="G15" i="10"/>
  <c r="C17" i="10"/>
  <c r="G17" i="10"/>
  <c r="G18" i="10"/>
  <c r="E16" i="10"/>
  <c r="E17" i="10"/>
  <c r="E18" i="10"/>
  <c r="F18" i="10"/>
  <c r="B24" i="10"/>
  <c r="F17" i="10"/>
  <c r="F16" i="10"/>
  <c r="F14" i="10"/>
  <c r="F13" i="10"/>
  <c r="F12" i="10"/>
  <c r="F11" i="10"/>
  <c r="F10" i="10"/>
  <c r="F9" i="10"/>
  <c r="F8" i="10"/>
  <c r="C8" i="9"/>
  <c r="G8" i="9"/>
  <c r="C9" i="9"/>
  <c r="G9" i="9"/>
  <c r="C10" i="9"/>
  <c r="G10" i="9"/>
  <c r="C11" i="9"/>
  <c r="G11" i="9"/>
  <c r="C12" i="9"/>
  <c r="G12" i="9"/>
  <c r="C13" i="9"/>
  <c r="G13" i="9"/>
  <c r="C14" i="9"/>
  <c r="G14" i="9"/>
  <c r="C15" i="9"/>
  <c r="G15" i="9"/>
  <c r="C16" i="9"/>
  <c r="G16" i="9"/>
  <c r="G17" i="9"/>
  <c r="C19" i="9"/>
  <c r="G19" i="9"/>
  <c r="C20" i="9"/>
  <c r="G20" i="9"/>
  <c r="C21" i="9"/>
  <c r="G21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F21" i="9"/>
  <c r="G22" i="9"/>
  <c r="B27" i="9"/>
  <c r="K8" i="9"/>
  <c r="O8" i="9"/>
  <c r="K9" i="9"/>
  <c r="O9" i="9"/>
  <c r="K10" i="9"/>
  <c r="O10" i="9"/>
  <c r="K11" i="9"/>
  <c r="O11" i="9"/>
  <c r="K12" i="9"/>
  <c r="O12" i="9"/>
  <c r="K13" i="9"/>
  <c r="O13" i="9"/>
  <c r="K14" i="9"/>
  <c r="O14" i="9"/>
  <c r="K15" i="9"/>
  <c r="O15" i="9"/>
  <c r="K16" i="9"/>
  <c r="O16" i="9"/>
  <c r="K17" i="9"/>
  <c r="O17" i="9"/>
  <c r="K18" i="9"/>
  <c r="O18" i="9"/>
  <c r="K19" i="9"/>
  <c r="O19" i="9"/>
  <c r="K20" i="9"/>
  <c r="O20" i="9"/>
  <c r="K21" i="9"/>
  <c r="O2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N21" i="9"/>
  <c r="O22" i="9"/>
  <c r="J27" i="9"/>
  <c r="N12" i="9"/>
  <c r="N13" i="9"/>
  <c r="N14" i="9"/>
  <c r="N15" i="9"/>
  <c r="N20" i="9"/>
  <c r="N19" i="9"/>
  <c r="N18" i="9"/>
  <c r="N17" i="9"/>
  <c r="N16" i="9"/>
  <c r="N11" i="9"/>
  <c r="N10" i="9"/>
  <c r="N9" i="9"/>
  <c r="N8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I9" i="8"/>
  <c r="I8" i="8"/>
  <c r="G12" i="8"/>
  <c r="D8" i="8"/>
  <c r="D9" i="8"/>
  <c r="B12" i="8"/>
  <c r="K20" i="6"/>
  <c r="O21" i="6"/>
  <c r="K8" i="6"/>
  <c r="O8" i="6"/>
  <c r="K9" i="6"/>
  <c r="O9" i="6"/>
  <c r="K10" i="6"/>
  <c r="O10" i="6"/>
  <c r="K11" i="6"/>
  <c r="O11" i="6"/>
  <c r="K12" i="6"/>
  <c r="O12" i="6"/>
  <c r="K13" i="6"/>
  <c r="O13" i="6"/>
  <c r="K14" i="6"/>
  <c r="O14" i="6"/>
  <c r="K15" i="6"/>
  <c r="O15" i="6"/>
  <c r="K16" i="6"/>
  <c r="O16" i="6"/>
  <c r="K17" i="6"/>
  <c r="O17" i="6"/>
  <c r="K18" i="6"/>
  <c r="O18" i="6"/>
  <c r="K19" i="6"/>
  <c r="O19" i="6"/>
  <c r="M8" i="6"/>
  <c r="M9" i="6"/>
  <c r="M10" i="6"/>
  <c r="M11" i="6"/>
  <c r="M12" i="6"/>
  <c r="M13" i="6"/>
  <c r="M14" i="6"/>
  <c r="M15" i="6"/>
  <c r="M16" i="6"/>
  <c r="M17" i="6"/>
  <c r="M18" i="6"/>
  <c r="M19" i="6"/>
  <c r="N19" i="6"/>
  <c r="O20" i="6"/>
  <c r="N8" i="6"/>
  <c r="N9" i="6"/>
  <c r="N10" i="6"/>
  <c r="N11" i="6"/>
  <c r="N12" i="6"/>
  <c r="N13" i="6"/>
  <c r="N14" i="6"/>
  <c r="N15" i="6"/>
  <c r="N16" i="6"/>
  <c r="N17" i="6"/>
  <c r="N18" i="6"/>
  <c r="M20" i="6"/>
  <c r="N20" i="6"/>
  <c r="J25" i="6"/>
  <c r="C8" i="6"/>
  <c r="G8" i="6"/>
  <c r="C9" i="6"/>
  <c r="G9" i="6"/>
  <c r="C10" i="6"/>
  <c r="G10" i="6"/>
  <c r="C11" i="6"/>
  <c r="G11" i="6"/>
  <c r="C12" i="6"/>
  <c r="G12" i="6"/>
  <c r="C13" i="6"/>
  <c r="G13" i="6"/>
  <c r="C14" i="6"/>
  <c r="G14" i="6"/>
  <c r="C15" i="6"/>
  <c r="G15" i="6"/>
  <c r="G16" i="6"/>
  <c r="C18" i="6"/>
  <c r="G18" i="6"/>
  <c r="C19" i="6"/>
  <c r="G19" i="6"/>
  <c r="C20" i="6"/>
  <c r="E8" i="6"/>
  <c r="E9" i="6"/>
  <c r="E10" i="6"/>
  <c r="E11" i="6"/>
  <c r="E12" i="6"/>
  <c r="E13" i="6"/>
  <c r="E14" i="6"/>
  <c r="E15" i="6"/>
  <c r="E16" i="6"/>
  <c r="E17" i="6"/>
  <c r="E18" i="6"/>
  <c r="E19" i="6"/>
  <c r="F19" i="6"/>
  <c r="G20" i="6"/>
  <c r="G21" i="6"/>
  <c r="B25" i="6"/>
  <c r="F8" i="6"/>
  <c r="F9" i="6"/>
  <c r="F10" i="6"/>
  <c r="F11" i="6"/>
  <c r="F12" i="6"/>
  <c r="F13" i="6"/>
  <c r="F14" i="6"/>
  <c r="F15" i="6"/>
  <c r="F16" i="6"/>
  <c r="F17" i="6"/>
  <c r="F18" i="6"/>
  <c r="E20" i="6"/>
  <c r="F20" i="6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H26" i="7"/>
  <c r="E10" i="7"/>
  <c r="E11" i="7"/>
  <c r="E12" i="7"/>
  <c r="E13" i="7"/>
  <c r="E14" i="7"/>
  <c r="E15" i="7"/>
  <c r="E16" i="7"/>
  <c r="E17" i="7"/>
  <c r="E18" i="7"/>
  <c r="E19" i="7"/>
  <c r="E20" i="7"/>
  <c r="E21" i="7"/>
  <c r="B26" i="7"/>
  <c r="E9" i="7"/>
  <c r="E8" i="7"/>
  <c r="C20" i="5"/>
  <c r="C47" i="5"/>
  <c r="D30" i="1"/>
  <c r="D22" i="1"/>
  <c r="D23" i="1"/>
  <c r="D33" i="1"/>
  <c r="D34" i="1"/>
  <c r="D43" i="1"/>
  <c r="B35" i="5"/>
  <c r="C48" i="5"/>
  <c r="E48" i="5"/>
  <c r="C14" i="5"/>
  <c r="B6" i="5"/>
  <c r="C15" i="5"/>
  <c r="E15" i="5"/>
  <c r="C49" i="5"/>
  <c r="E49" i="5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9" i="1"/>
  <c r="E56" i="1"/>
  <c r="D50" i="1"/>
  <c r="D51" i="1"/>
  <c r="C6" i="5"/>
  <c r="C52" i="5"/>
  <c r="C51" i="5"/>
  <c r="C50" i="5"/>
  <c r="C46" i="5"/>
  <c r="C45" i="5"/>
  <c r="C44" i="5"/>
  <c r="C43" i="5"/>
  <c r="C42" i="5"/>
  <c r="C41" i="5"/>
  <c r="C40" i="5"/>
  <c r="C39" i="5"/>
  <c r="C38" i="5"/>
  <c r="C16" i="5"/>
  <c r="C17" i="5"/>
  <c r="C18" i="5"/>
  <c r="C19" i="5"/>
  <c r="C21" i="5"/>
  <c r="C22" i="5"/>
  <c r="C23" i="5"/>
  <c r="C11" i="5"/>
  <c r="E24" i="5"/>
  <c r="F22" i="5"/>
  <c r="F18" i="5"/>
  <c r="E17" i="5"/>
  <c r="E16" i="5"/>
  <c r="F23" i="5"/>
  <c r="E19" i="5"/>
  <c r="E23" i="5"/>
  <c r="E18" i="5"/>
  <c r="F17" i="5"/>
  <c r="E22" i="5"/>
  <c r="F19" i="5"/>
  <c r="C12" i="5"/>
  <c r="F12" i="5"/>
  <c r="F24" i="5"/>
  <c r="F16" i="5"/>
  <c r="C13" i="5"/>
  <c r="E12" i="5"/>
  <c r="C10" i="5"/>
  <c r="C9" i="5"/>
  <c r="F14" i="5"/>
  <c r="E14" i="5"/>
  <c r="F9" i="5"/>
  <c r="E10" i="5"/>
  <c r="F10" i="5"/>
  <c r="E9" i="5"/>
  <c r="F15" i="5"/>
  <c r="F11" i="5"/>
  <c r="E11" i="5"/>
  <c r="F13" i="5"/>
  <c r="E13" i="5"/>
  <c r="E41" i="5"/>
  <c r="D16" i="1"/>
  <c r="E45" i="5"/>
  <c r="E42" i="5"/>
  <c r="E38" i="5"/>
  <c r="E50" i="5"/>
  <c r="E40" i="5"/>
  <c r="E52" i="5"/>
  <c r="E39" i="5"/>
  <c r="E51" i="5"/>
  <c r="E47" i="5"/>
  <c r="E43" i="5"/>
  <c r="E46" i="5"/>
  <c r="C35" i="5"/>
  <c r="F41" i="5"/>
  <c r="E53" i="5"/>
  <c r="E44" i="5"/>
  <c r="F45" i="5"/>
  <c r="F48" i="5"/>
  <c r="E27" i="5"/>
  <c r="E28" i="5"/>
  <c r="F38" i="5"/>
  <c r="F44" i="5"/>
  <c r="F43" i="5"/>
  <c r="F53" i="5"/>
  <c r="F51" i="5"/>
  <c r="F47" i="5"/>
  <c r="F50" i="5"/>
  <c r="F46" i="5"/>
  <c r="E55" i="5"/>
  <c r="E56" i="5"/>
  <c r="E57" i="5"/>
  <c r="F40" i="5"/>
  <c r="F42" i="5"/>
  <c r="F39" i="5"/>
  <c r="F52" i="5"/>
  <c r="F49" i="5"/>
  <c r="F55" i="5"/>
  <c r="F56" i="5"/>
  <c r="F57" i="5"/>
  <c r="G57" i="5"/>
  <c r="F7" i="2"/>
  <c r="F2" i="2"/>
  <c r="F28" i="2"/>
  <c r="D44" i="1"/>
  <c r="D57" i="1"/>
  <c r="D45" i="1"/>
  <c r="D46" i="1"/>
  <c r="F20" i="5"/>
  <c r="F21" i="5"/>
  <c r="F26" i="5"/>
  <c r="F27" i="5"/>
  <c r="F28" i="5"/>
  <c r="G28" i="5"/>
  <c r="E2" i="2"/>
  <c r="E7" i="2"/>
  <c r="E28" i="2"/>
  <c r="D37" i="1"/>
  <c r="D38" i="1"/>
  <c r="D39" i="1"/>
  <c r="D48" i="1"/>
  <c r="D56" i="1"/>
  <c r="E57" i="1"/>
  <c r="E58" i="1"/>
  <c r="E59" i="1"/>
  <c r="D52" i="1"/>
  <c r="D53" i="1"/>
  <c r="D58" i="1"/>
  <c r="E20" i="5"/>
  <c r="E21" i="5"/>
  <c r="E26" i="5"/>
</calcChain>
</file>

<file path=xl/comments1.xml><?xml version="1.0" encoding="utf-8"?>
<comments xmlns="http://schemas.openxmlformats.org/spreadsheetml/2006/main">
  <authors>
    <author>Drack, Stefan</author>
    <author>Microsoft Office-Anwender</author>
  </authors>
  <commentList>
    <comment ref="B13" authorId="0">
      <text>
        <r>
          <rPr>
            <b/>
            <sz val="9"/>
            <color indexed="81"/>
            <rFont val="Tahoma"/>
          </rPr>
          <t>Drack, Stefan:</t>
        </r>
        <r>
          <rPr>
            <sz val="9"/>
            <color indexed="81"/>
            <rFont val="Tahoma"/>
          </rPr>
          <t xml:space="preserve">
Siehe: Daten, Daten- überprüfung, ganze Zahlen, zwischen 50 und 150</t>
        </r>
      </text>
    </comment>
    <comment ref="B18" authorId="0">
      <text>
        <r>
          <rPr>
            <b/>
            <sz val="9"/>
            <color indexed="81"/>
            <rFont val="Tahoma"/>
          </rPr>
          <t>Drack, Stefan:</t>
        </r>
        <r>
          <rPr>
            <sz val="9"/>
            <color indexed="81"/>
            <rFont val="Tahoma"/>
          </rPr>
          <t xml:space="preserve">
Siehe: Daten, Daten- überprüfung, … zulassen, Liste</t>
        </r>
      </text>
    </comment>
    <comment ref="B20" authorId="0">
      <text>
        <r>
          <rPr>
            <b/>
            <sz val="9"/>
            <color indexed="81"/>
            <rFont val="Tahoma"/>
          </rPr>
          <t>Drack, Stefan:</t>
        </r>
        <r>
          <rPr>
            <sz val="9"/>
            <color indexed="81"/>
            <rFont val="Tahoma"/>
          </rPr>
          <t xml:space="preserve">
Siehe: Daten, Daten- überprüfung, … zulassen, Liste</t>
        </r>
      </text>
    </comment>
    <comment ref="C34" authorId="1">
      <text>
        <r>
          <rPr>
            <b/>
            <sz val="10"/>
            <color indexed="81"/>
            <rFont val="Calibri"/>
          </rPr>
          <t>Microsoft Office-Anwender:</t>
        </r>
        <r>
          <rPr>
            <sz val="10"/>
            <color indexed="81"/>
            <rFont val="Calibri"/>
          </rPr>
          <t xml:space="preserve">
rein mathematisch wäre P=M+N+O richtig, da negativ</t>
        </r>
      </text>
    </comment>
  </commentList>
</comments>
</file>

<file path=xl/sharedStrings.xml><?xml version="1.0" encoding="utf-8"?>
<sst xmlns="http://schemas.openxmlformats.org/spreadsheetml/2006/main" count="519" uniqueCount="233">
  <si>
    <t>Titel</t>
  </si>
  <si>
    <t>Bemerkung</t>
  </si>
  <si>
    <t>Steuersatz Kanton</t>
  </si>
  <si>
    <t>Steuersatz Kirche</t>
  </si>
  <si>
    <t>Steuersatz Gemeinde</t>
  </si>
  <si>
    <t>Baujahr</t>
  </si>
  <si>
    <t>Eingabe: Pflichtfeld</t>
  </si>
  <si>
    <t>Eingabe: Alternativfelder (1 von n)</t>
  </si>
  <si>
    <t>Eingabe: Optionales Feld</t>
  </si>
  <si>
    <t>Baujahr der Liegenschaft</t>
  </si>
  <si>
    <t>Eigenmietwert</t>
  </si>
  <si>
    <t>Mieteinnahmen inkl. NK (umweltfreundlich)</t>
  </si>
  <si>
    <t>Mieteinnahmen exkl. NK (umweltbelastend)</t>
  </si>
  <si>
    <t>Zulässig: 50 - 150</t>
  </si>
  <si>
    <t>%</t>
  </si>
  <si>
    <t>AG</t>
  </si>
  <si>
    <t>AR</t>
  </si>
  <si>
    <t>AI</t>
  </si>
  <si>
    <t>BL</t>
  </si>
  <si>
    <t>BS</t>
  </si>
  <si>
    <t>BE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</si>
  <si>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</si>
  <si>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</si>
  <si>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</si>
  <si>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</si>
  <si>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</si>
  <si>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</si>
  <si>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</si>
  <si>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</si>
  <si>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</si>
  <si>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</si>
  <si>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</si>
  <si>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SZ</t>
  </si>
  <si>
    <t>SO</t>
  </si>
  <si>
    <t>TI</t>
  </si>
  <si>
    <t>TG</t>
  </si>
  <si>
    <t>UR</t>
  </si>
  <si>
    <t>VD</t>
  </si>
  <si>
    <t>VS</t>
  </si>
  <si>
    <t>ZH</t>
  </si>
  <si>
    <t>ZG</t>
  </si>
  <si>
    <t>Steuersatz Total</t>
  </si>
  <si>
    <t>Berechneter Wert angezeigt</t>
  </si>
  <si>
    <t>Berechneter Wert verborgen</t>
  </si>
  <si>
    <t>Datum</t>
  </si>
  <si>
    <t>Visum</t>
  </si>
  <si>
    <t>Version</t>
  </si>
  <si>
    <t>00</t>
  </si>
  <si>
    <t>Erte Erstellung</t>
  </si>
  <si>
    <t>Alter der Liegenschaft</t>
  </si>
  <si>
    <t>Aktuelles Datum</t>
  </si>
  <si>
    <t>(=Heute) funktioniert nicht?</t>
  </si>
  <si>
    <t>a</t>
  </si>
  <si>
    <t>Prozentsatz für Unterhalts-Pauschalabzug</t>
  </si>
  <si>
    <t>A</t>
  </si>
  <si>
    <t>Besteuerung nach Tarif A (alleinstehend) oder B?</t>
  </si>
  <si>
    <t>Tarif der Einkommenssteuer</t>
  </si>
  <si>
    <t>Steuersatz</t>
  </si>
  <si>
    <t>Steuern Tarif A</t>
  </si>
  <si>
    <t>Steuern Tarif B</t>
  </si>
  <si>
    <t>Total der Steuern</t>
  </si>
  <si>
    <t>B</t>
  </si>
  <si>
    <t>Beschreibung</t>
  </si>
  <si>
    <t>für die ersten 4000 CHF gilt ein Steuersatz von 0%</t>
  </si>
  <si>
    <t>für die weiteren 3600 CHF gilt ein Satz von 1%</t>
  </si>
  <si>
    <t>für die weiteren 3600 CHF gilt ein Satz von 2%</t>
  </si>
  <si>
    <t>für die weiteren 4000 CHF gilt ein Satz von 3%</t>
  </si>
  <si>
    <t>usw.</t>
  </si>
  <si>
    <t>Basiswert aufsummiert</t>
  </si>
  <si>
    <t>Basiswert</t>
  </si>
  <si>
    <t>Resultierender Steuersatz 1</t>
  </si>
  <si>
    <t>Übertrag des Wertes von vorn</t>
  </si>
  <si>
    <t>Auswahl des Tarifs A oder B</t>
  </si>
  <si>
    <t>Tarif A</t>
  </si>
  <si>
    <t>Tarif B</t>
  </si>
  <si>
    <t>Resultierender Steuersatz 2</t>
  </si>
  <si>
    <t>10 oder 20%</t>
  </si>
  <si>
    <t>Total der Einnahmen (Eigenmietwert + Miete)</t>
  </si>
  <si>
    <t>Steuerbares  Einkommen inkl. Eigenmietwert</t>
  </si>
  <si>
    <t>Pauschaler Abzug für Unterhaltsarbeiten</t>
  </si>
  <si>
    <t>Einkommen aus Immobilien</t>
  </si>
  <si>
    <t>Schuldzinsen, z.B. -6000 CHF/a</t>
  </si>
  <si>
    <t>Quelle: Doku_0013_2015_tarif_einkommenssteuer_AG.pdf</t>
  </si>
  <si>
    <t>Berechnung Steuersatz aktuell</t>
  </si>
  <si>
    <t>Berechnung Steuersatz mit Wohnsteuer</t>
  </si>
  <si>
    <t>Einkommenssteuer 100%</t>
  </si>
  <si>
    <t>Einkommenssteuer Kanton, Gemeinde und ev. Kirche</t>
  </si>
  <si>
    <t>Aktuelle Kirchensteuer</t>
  </si>
  <si>
    <t>Kirchensteuer mit harmonisierter Wohnsteuer</t>
  </si>
  <si>
    <t>Einbusse für die Kirche</t>
  </si>
  <si>
    <t>Steuerbares Einkommen mit der Wohnsteuer</t>
  </si>
  <si>
    <t>Wohnsteuer auf Eigenmietwert</t>
  </si>
  <si>
    <t>Wohnsteuer auf umweltfreundlicher Wohnung</t>
  </si>
  <si>
    <t>Wohnsteuer auf umweltbelastender Wohnung</t>
  </si>
  <si>
    <t>Kompensation: Kirche benötigt ca. 2% mehr</t>
  </si>
  <si>
    <t>Steuereinsparung vor Belastung mit der Wohnsteuer</t>
  </si>
  <si>
    <t>Jährliche Steuereinsparung</t>
  </si>
  <si>
    <t>Zulässig: 0 - 30</t>
  </si>
  <si>
    <t>Bemerkungen</t>
  </si>
  <si>
    <t>Formel</t>
  </si>
  <si>
    <t>Nur wenn A &gt; 0</t>
  </si>
  <si>
    <t>C</t>
  </si>
  <si>
    <t>D</t>
  </si>
  <si>
    <t>E</t>
  </si>
  <si>
    <t>G</t>
  </si>
  <si>
    <t>H</t>
  </si>
  <si>
    <t>I</t>
  </si>
  <si>
    <t>J</t>
  </si>
  <si>
    <t>K</t>
  </si>
  <si>
    <t>L</t>
  </si>
  <si>
    <t>N</t>
  </si>
  <si>
    <t>Q</t>
  </si>
  <si>
    <t>U</t>
  </si>
  <si>
    <t>a = J * %</t>
  </si>
  <si>
    <t>b = K * %</t>
  </si>
  <si>
    <t>c = L * %</t>
  </si>
  <si>
    <t>X = S - W</t>
  </si>
  <si>
    <t>W = B * V/100</t>
  </si>
  <si>
    <t>V = T * U</t>
  </si>
  <si>
    <t>T = I - P</t>
  </si>
  <si>
    <t>S = B * R/100</t>
  </si>
  <si>
    <t>R = I * Q</t>
  </si>
  <si>
    <t>P = M - N - O</t>
  </si>
  <si>
    <t>O = M * G</t>
  </si>
  <si>
    <t>M = J + K + L</t>
  </si>
  <si>
    <t>F = E - D</t>
  </si>
  <si>
    <t>Y</t>
  </si>
  <si>
    <t>d = T  * U * Y</t>
  </si>
  <si>
    <t>e = X+a+b+c</t>
  </si>
  <si>
    <t>Vorsicht, dies sind Schein-Prozente!</t>
  </si>
  <si>
    <t>Diese Prozente sind echt</t>
  </si>
  <si>
    <t>Wert zwischen -40'000 und 0</t>
  </si>
  <si>
    <t>Wahl des Kantons</t>
  </si>
  <si>
    <t>Einnahmen pro Jahr</t>
  </si>
  <si>
    <t>Kompensation wenn ca. 50% Eigenheimbesitzer und 50% Mieter. Private Vermieter vermutlich vernachlässigbar.</t>
  </si>
  <si>
    <t>01</t>
  </si>
  <si>
    <t>Da</t>
  </si>
  <si>
    <t>Inkl. Berechnung Steuersatz</t>
  </si>
  <si>
    <t>Kanton</t>
  </si>
  <si>
    <t>gewählter Kanton=1</t>
  </si>
  <si>
    <t>Werte aus Liste</t>
  </si>
  <si>
    <t>AG, BE, BS, ZG und ZH</t>
  </si>
  <si>
    <t>Steuersatz 1</t>
  </si>
  <si>
    <t>Steuersatz 2</t>
  </si>
  <si>
    <t>Aktueller Steuersatz (Steuersatz 1)</t>
  </si>
  <si>
    <t>Steuersatz mit der Wohnsteuer (Steuersatz 2)</t>
  </si>
  <si>
    <t>Siehe Tabelle "Kantone"</t>
  </si>
  <si>
    <t>Total</t>
  </si>
  <si>
    <r>
      <t>Die Prozentsätze zur Berechnung von</t>
    </r>
    <r>
      <rPr>
        <b/>
        <sz val="11"/>
        <color rgb="FFFF0000"/>
        <rFont val="Calibri"/>
        <family val="2"/>
        <scheme val="minor"/>
      </rPr>
      <t xml:space="preserve"> a, b und c</t>
    </r>
    <r>
      <rPr>
        <sz val="11"/>
        <color rgb="FFFF0000"/>
        <rFont val="Calibri"/>
        <family val="2"/>
        <scheme val="minor"/>
      </rPr>
      <t xml:space="preserve"> müssen noch aktualisiert werden. Voraussetzung: Zahlen des Kantons.</t>
    </r>
  </si>
  <si>
    <t>Reduziert steuerbares Einkommen (und Steuersatz)</t>
  </si>
  <si>
    <t>Erhöht steuerbares Einkommen (und Steuersatz)</t>
  </si>
  <si>
    <t>Einnahmen, Teil des steuerbaren Einkommens 1</t>
  </si>
  <si>
    <t>Inkl. Eigenmietwert und ggf. Mieteinnahmen</t>
  </si>
  <si>
    <t>Legende für das Formular im Internet</t>
  </si>
  <si>
    <t>grau</t>
  </si>
  <si>
    <t>grün</t>
  </si>
  <si>
    <t>blau</t>
  </si>
  <si>
    <t>gelb</t>
  </si>
  <si>
    <t>weiss</t>
  </si>
  <si>
    <t>Farbe</t>
  </si>
  <si>
    <t>Steuern Tarif</t>
  </si>
  <si>
    <t>Resultierend</t>
  </si>
  <si>
    <t>bis</t>
  </si>
  <si>
    <t>ab</t>
  </si>
  <si>
    <t>für je weitere  Fr. 100</t>
  </si>
  <si>
    <t>Verst. Einkommen</t>
  </si>
  <si>
    <t>Grundtarif</t>
  </si>
  <si>
    <t>Verheiratetentarif</t>
  </si>
  <si>
    <t>Aktueller Steuersatz</t>
  </si>
  <si>
    <t xml:space="preserve">Steuern Tarif </t>
  </si>
  <si>
    <t>für die ersten 3100 CHF gilt ein Steuersatz von 1.95%</t>
  </si>
  <si>
    <t>für die weiteren 3100 CHF gilt ein Satz von 2.90%</t>
  </si>
  <si>
    <t>für die weiteren 9400 CHF gilt ein Satz von 3.60%</t>
  </si>
  <si>
    <t>für die weiteren 15400 CHF gilt ein Satz von 4.15%</t>
  </si>
  <si>
    <t>Für jedes weiter Einkommen gilt ein Satz von 6.50%</t>
  </si>
  <si>
    <t>Versteuerbares EInkommen</t>
  </si>
  <si>
    <t>Steuern Tarif aufsummiert</t>
  </si>
  <si>
    <t>für die ersten 3100 CHF gilt ein Steuersatz von 1.55%</t>
  </si>
  <si>
    <t>für die weiteren 3100 CHF gilt ein Satz von 1,65%</t>
  </si>
  <si>
    <t>für die weiteren 9400 CHF gilt ein Satz von 2.85%</t>
  </si>
  <si>
    <t>für die weiteren 15400 CHF gilt ein Satz von 3.65%</t>
  </si>
  <si>
    <t>Bis</t>
  </si>
  <si>
    <t>Ab</t>
  </si>
  <si>
    <t>Versteuerbares Einkommen</t>
  </si>
  <si>
    <t>Quelle: Steueramt ZH*</t>
  </si>
  <si>
    <t>*https://www.steueramt.zh.ch/internet/finanzdirektion/ksta/de/steuerberechnung/steuertarife/_jcr_content/contentPar/downloadlist/downloaditems/steuertarife_2015_f_.spooler.download.1455611150956.pdf/Steuertarife_2015_Staatssteuer_Bundessteuer.pdf</t>
  </si>
  <si>
    <t>Quelle: Steuerverwaltung BS*</t>
  </si>
  <si>
    <t>*http://www.steuerverwaltung.bs.ch/steuersystem/steuerarten/kantonale-steuern/einkommenssteuer.html</t>
  </si>
  <si>
    <t>Quelle: Finanzdirektion BE*</t>
  </si>
  <si>
    <t>*https://www.belex.sites.be.ch/frontend/versions/1004?locale=de</t>
  </si>
  <si>
    <t>Steuertarif</t>
  </si>
  <si>
    <t>Steuertarif aufsummiert</t>
  </si>
  <si>
    <t>für die ersten 1000 CHF gilt ein Steuersatz von 0.50%</t>
  </si>
  <si>
    <t>für die weiteren 2200 CHF gilt ein Steuersatz von 1.00%</t>
  </si>
  <si>
    <t>für die weiteren 2700 CHF gilt ein Steuersatz von 2.00%</t>
  </si>
  <si>
    <t>für die weiteren 3700 CHF gilt ein Steuersatz von 3.00%</t>
  </si>
  <si>
    <t>für alles darüber gilt ein Steuersatz von 8.00%</t>
  </si>
  <si>
    <t>Quelle: Finanzdirektion Zug*</t>
  </si>
  <si>
    <t>*https://www.zg.ch/behoerden/finanzdirektion/steuerverwaltung/steuertarif</t>
  </si>
  <si>
    <t>für die ersten 9400 CHF gilt ein Steuersatz von 0.00%</t>
  </si>
  <si>
    <t>für die weiteren 2300 CHF gilt ein Steuersatz von 1.00%</t>
  </si>
  <si>
    <t>für die weiteren 3000 CHF gilt ein Steuersatz von 2.00%</t>
  </si>
  <si>
    <t>für die weiteren 1100 CHF gilt ein Steuersatz von 3.00%</t>
  </si>
  <si>
    <t>für die ersten 18800 CHF gilt ein Steuersatz von 0.00%</t>
  </si>
  <si>
    <t>für die weiteren 3900 CHF gilt ein Steuersatz von 1.00%</t>
  </si>
  <si>
    <t>für die weiteren 1000 CHF gilt ein Steuersatz von 2.00%</t>
  </si>
  <si>
    <t>für alles darüber gilt ein Steuersatz von 5.70%</t>
  </si>
  <si>
    <t>für alles darüber gilt ein Steuersatz von 5.60%</t>
  </si>
  <si>
    <t>Quelle: StG Kanton Luzern*</t>
  </si>
  <si>
    <t>*http://srl.lu.ch/frontend/versions/2608</t>
  </si>
  <si>
    <t>Faktor bn</t>
  </si>
  <si>
    <t>Faktor cn</t>
  </si>
  <si>
    <t>Faktor dn</t>
  </si>
  <si>
    <t>b1 * x + c1 * x * (ln(x)-1) + d1</t>
  </si>
  <si>
    <t>b2 * x + c2 * x * (ln(x)-1) + d2</t>
  </si>
  <si>
    <t>b3 * x + c3 * x * (ln(x)-1) + d3</t>
  </si>
  <si>
    <t>211'306.15 + b4 * (x-1'150'000)</t>
  </si>
  <si>
    <t>18.62%-</t>
  </si>
  <si>
    <t>-</t>
  </si>
  <si>
    <t>Berechnungsformel für den Steuerbetrag</t>
  </si>
  <si>
    <t>Total Steuern</t>
  </si>
  <si>
    <t>Satzbestimmendes Einkommen von</t>
  </si>
  <si>
    <t>Satzbestimmendes Einkommen bis</t>
  </si>
  <si>
    <t>STIMMT NOCH NICHT FÜR VOLLSPLITTING!!!</t>
  </si>
  <si>
    <t>Total Einkommensteuer</t>
  </si>
  <si>
    <t>Quelle: sz.ch Einkommensteuertarif*</t>
  </si>
  <si>
    <t>*http://www.sz.ch/xml_1/internet/de/application/d4/d928/d24244/d734/d24053/d2596/p26812.cfm</t>
  </si>
  <si>
    <t xml:space="preserve"> </t>
  </si>
  <si>
    <t>für die ersten 6300 CHF gilt ein Steuersatz von 0%</t>
  </si>
  <si>
    <t>für die weiteren 300 CHF gilt ein Satz von 1.00%</t>
  </si>
  <si>
    <t>für die weiteren 1700 CHF gilt ein Satz von 2.00%</t>
  </si>
  <si>
    <t>für die weiteren 2100 CHF gilt ein Satz von 3.00%</t>
  </si>
  <si>
    <t>Für Einkommen über 210100 CHF gilt ein Einheitlicher Steuersatz von 9.9%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</si>
</sst>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C_H_F_-;\-* #,##0.00\ _C_H_F_-;_-* &quot;-&quot;??\ _C_H_F_-;_-@_-"/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&quot;Fr.&quot;\ #,##0"/>
    <numFmt numFmtId="167" formatCode="_ * #,##0_ ;_ * \-#,##0_ ;_ * &quot;-&quot;??_ ;_ @_ "/>
    <numFmt numFmtId="168" formatCode="0.0%"/>
    <numFmt numFmtId="169" formatCode="0.000%"/>
    <numFmt numFmtId="170" formatCode="_ &quot;Fr.&quot;\ * #,##0_ ;_ &quot;Fr.&quot;\ * \-#,##0_ ;_ &quot;Fr.&quot;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11"/>
      <color rgb="FFFF000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b/>
      <sz val="11"/>
      <color rgb="FFFF0000"/>
      <name val="Calibri (Textkörper)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5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9" fontId="0" fillId="2" borderId="0" xfId="2" applyFont="1" applyFill="1" applyAlignment="1">
      <alignment vertical="top" wrapText="1"/>
    </xf>
    <xf numFmtId="0" fontId="0" fillId="0" borderId="0" xfId="0" quotePrefix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0" fillId="5" borderId="0" xfId="0" applyFill="1" applyAlignment="1">
      <alignment horizontal="right" vertical="top" wrapText="1"/>
    </xf>
    <xf numFmtId="166" fontId="0" fillId="3" borderId="0" xfId="0" applyNumberFormat="1" applyFill="1" applyAlignment="1">
      <alignment horizontal="right" vertical="top" wrapText="1"/>
    </xf>
    <xf numFmtId="166" fontId="0" fillId="2" borderId="0" xfId="0" applyNumberFormat="1" applyFill="1" applyAlignment="1">
      <alignment horizontal="right" vertical="top" wrapText="1"/>
    </xf>
    <xf numFmtId="167" fontId="0" fillId="5" borderId="0" xfId="1" applyNumberFormat="1" applyFont="1" applyFill="1" applyAlignment="1">
      <alignment horizontal="right" vertical="top" wrapText="1"/>
    </xf>
    <xf numFmtId="167" fontId="0" fillId="4" borderId="0" xfId="1" applyNumberFormat="1" applyFont="1" applyFill="1" applyAlignment="1">
      <alignment horizontal="right" vertical="top" wrapText="1"/>
    </xf>
    <xf numFmtId="167" fontId="0" fillId="2" borderId="0" xfId="1" applyNumberFormat="1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wrapText="1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9" fontId="0" fillId="0" borderId="0" xfId="2" applyNumberFormat="1" applyFont="1" applyAlignment="1">
      <alignment wrapText="1"/>
    </xf>
    <xf numFmtId="1" fontId="0" fillId="0" borderId="0" xfId="0" applyNumberFormat="1" applyAlignment="1">
      <alignment wrapText="1"/>
    </xf>
    <xf numFmtId="168" fontId="0" fillId="0" borderId="0" xfId="2" applyNumberFormat="1" applyFont="1" applyAlignment="1">
      <alignment wrapText="1"/>
    </xf>
    <xf numFmtId="169" fontId="1" fillId="0" borderId="0" xfId="2" applyNumberFormat="1" applyFont="1" applyAlignment="1">
      <alignment wrapText="1"/>
    </xf>
    <xf numFmtId="166" fontId="0" fillId="0" borderId="0" xfId="0" applyNumberFormat="1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170" fontId="0" fillId="4" borderId="0" xfId="3" applyNumberFormat="1" applyFont="1" applyFill="1" applyAlignment="1">
      <alignment horizontal="right" vertical="top" wrapText="1"/>
    </xf>
    <xf numFmtId="170" fontId="0" fillId="2" borderId="0" xfId="3" applyNumberFormat="1" applyFont="1" applyFill="1" applyAlignment="1">
      <alignment horizontal="right" vertical="top" wrapText="1"/>
    </xf>
    <xf numFmtId="170" fontId="0" fillId="0" borderId="0" xfId="0" applyNumberFormat="1" applyAlignment="1">
      <alignment horizontal="right" vertical="top" wrapText="1"/>
    </xf>
    <xf numFmtId="170" fontId="0" fillId="5" borderId="0" xfId="3" applyNumberFormat="1" applyFont="1" applyFill="1" applyAlignment="1">
      <alignment horizontal="right" vertical="top" wrapText="1"/>
    </xf>
    <xf numFmtId="170" fontId="0" fillId="0" borderId="0" xfId="3" applyNumberFormat="1" applyFont="1" applyAlignment="1">
      <alignment wrapText="1"/>
    </xf>
    <xf numFmtId="170" fontId="0" fillId="0" borderId="1" xfId="3" applyNumberFormat="1" applyFont="1" applyFill="1" applyBorder="1" applyAlignment="1">
      <alignment wrapText="1"/>
    </xf>
    <xf numFmtId="16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wrapText="1"/>
    </xf>
    <xf numFmtId="170" fontId="0" fillId="0" borderId="0" xfId="3" applyNumberFormat="1" applyFont="1" applyAlignment="1">
      <alignment horizontal="right" vertical="top" wrapText="1"/>
    </xf>
    <xf numFmtId="170" fontId="0" fillId="0" borderId="0" xfId="3" applyNumberFormat="1" applyFont="1" applyFill="1" applyAlignment="1">
      <alignment horizontal="right" vertical="top" wrapText="1"/>
    </xf>
    <xf numFmtId="170" fontId="0" fillId="2" borderId="0" xfId="0" applyNumberFormat="1" applyFill="1" applyAlignment="1">
      <alignment horizontal="right" vertical="top" wrapText="1"/>
    </xf>
    <xf numFmtId="9" fontId="1" fillId="0" borderId="2" xfId="2" applyFont="1" applyBorder="1" applyAlignment="1">
      <alignment vertical="top" wrapText="1"/>
    </xf>
    <xf numFmtId="9" fontId="1" fillId="0" borderId="3" xfId="2" applyFont="1" applyBorder="1" applyAlignment="1">
      <alignment vertical="top" wrapText="1"/>
    </xf>
    <xf numFmtId="9" fontId="1" fillId="0" borderId="4" xfId="2" applyFont="1" applyBorder="1" applyAlignment="1">
      <alignment vertical="top" wrapText="1"/>
    </xf>
    <xf numFmtId="168" fontId="0" fillId="0" borderId="0" xfId="2" applyNumberFormat="1" applyFont="1" applyAlignment="1">
      <alignment vertical="top" wrapText="1"/>
    </xf>
    <xf numFmtId="168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9" fontId="0" fillId="0" borderId="0" xfId="2" applyFont="1" applyBorder="1" applyAlignment="1">
      <alignment vertical="top" wrapText="1"/>
    </xf>
    <xf numFmtId="170" fontId="0" fillId="0" borderId="0" xfId="0" applyNumberFormat="1" applyFill="1" applyAlignment="1">
      <alignment horizontal="right" vertical="top" wrapText="1"/>
    </xf>
    <xf numFmtId="14" fontId="0" fillId="0" borderId="0" xfId="0" applyNumberFormat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9" fontId="0" fillId="0" borderId="1" xfId="2" applyNumberFormat="1" applyFont="1" applyBorder="1" applyAlignment="1">
      <alignment horizontal="right" vertical="top" wrapText="1"/>
    </xf>
    <xf numFmtId="169" fontId="0" fillId="0" borderId="0" xfId="2" applyNumberFormat="1" applyFont="1" applyAlignment="1">
      <alignment horizontal="center"/>
    </xf>
    <xf numFmtId="169" fontId="0" fillId="0" borderId="1" xfId="0" applyNumberFormat="1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7" borderId="0" xfId="0" applyFill="1" applyAlignment="1">
      <alignment vertical="top" wrapText="1"/>
    </xf>
    <xf numFmtId="164" fontId="0" fillId="0" borderId="0" xfId="3" applyFont="1"/>
    <xf numFmtId="43" fontId="0" fillId="0" borderId="0" xfId="0" applyNumberFormat="1"/>
    <xf numFmtId="0" fontId="9" fillId="0" borderId="0" xfId="0" applyFon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164" fontId="0" fillId="0" borderId="0" xfId="3" applyFont="1" applyAlignment="1">
      <alignment wrapText="1"/>
    </xf>
    <xf numFmtId="164" fontId="0" fillId="0" borderId="0" xfId="0" applyNumberFormat="1" applyAlignment="1">
      <alignment wrapText="1"/>
    </xf>
    <xf numFmtId="0" fontId="10" fillId="0" borderId="0" xfId="0" applyFont="1"/>
    <xf numFmtId="0" fontId="0" fillId="6" borderId="0" xfId="0" applyFont="1" applyFill="1" applyAlignment="1">
      <alignment horizontal="left" wrapText="1"/>
    </xf>
    <xf numFmtId="10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0" borderId="0" xfId="0" applyFont="1" applyAlignment="1">
      <alignment wrapText="1"/>
    </xf>
    <xf numFmtId="0" fontId="9" fillId="0" borderId="0" xfId="0" applyFont="1"/>
    <xf numFmtId="0" fontId="1" fillId="6" borderId="0" xfId="0" applyFont="1" applyFill="1"/>
    <xf numFmtId="4" fontId="0" fillId="0" borderId="0" xfId="0" applyNumberFormat="1"/>
    <xf numFmtId="0" fontId="3" fillId="0" borderId="0" xfId="0" applyFont="1" applyAlignment="1">
      <alignment horizontal="center" vertical="top" wrapText="1"/>
    </xf>
  </cellXfs>
  <cellStyles count="4">
    <cellStyle name="Dezimal" xfId="1" builtinId="3"/>
    <cellStyle name="Prozent" xfId="2" builtinId="5"/>
    <cellStyle name="Stand.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workbookViewId="0">
      <selection activeCell="D13" sqref="D13:D16"/>
    </sheetView>
  </sheetViews>
  <sheetFormatPr baseColWidth="10" defaultRowHeight="15" x14ac:dyDescent="0.2"/>
  <cols>
    <col min="1" max="1" width="52.83203125" style="3" customWidth="1"/>
    <col min="2" max="2" width="28.5" style="3" customWidth="1"/>
    <col min="3" max="3" width="12.6640625" style="3" customWidth="1"/>
    <col min="4" max="4" width="14.33203125" style="10" customWidth="1"/>
    <col min="5" max="5" width="10.83203125" style="3"/>
    <col min="6" max="6" width="49.83203125" style="3" customWidth="1"/>
    <col min="7" max="16384" width="10.83203125" style="3"/>
  </cols>
  <sheetData>
    <row r="1" spans="1:6" x14ac:dyDescent="0.2">
      <c r="A1" s="2" t="s">
        <v>1</v>
      </c>
    </row>
    <row r="2" spans="1:6" ht="30" x14ac:dyDescent="0.2">
      <c r="A2" s="57" t="s">
        <v>148</v>
      </c>
    </row>
    <row r="5" spans="1:6" x14ac:dyDescent="0.2">
      <c r="A5" s="2" t="s">
        <v>153</v>
      </c>
      <c r="B5" s="2" t="s">
        <v>159</v>
      </c>
    </row>
    <row r="6" spans="1:6" x14ac:dyDescent="0.2">
      <c r="A6" s="4" t="s">
        <v>6</v>
      </c>
      <c r="B6" s="3" t="s">
        <v>154</v>
      </c>
    </row>
    <row r="7" spans="1:6" x14ac:dyDescent="0.2">
      <c r="A7" s="5" t="s">
        <v>7</v>
      </c>
      <c r="B7" s="3" t="s">
        <v>155</v>
      </c>
    </row>
    <row r="8" spans="1:6" x14ac:dyDescent="0.2">
      <c r="A8" s="6" t="s">
        <v>8</v>
      </c>
      <c r="B8" s="3" t="s">
        <v>156</v>
      </c>
    </row>
    <row r="9" spans="1:6" x14ac:dyDescent="0.2">
      <c r="A9" s="7" t="s">
        <v>42</v>
      </c>
      <c r="B9" s="3" t="s">
        <v>157</v>
      </c>
    </row>
    <row r="10" spans="1:6" x14ac:dyDescent="0.2">
      <c r="A10" s="3" t="s">
        <v>43</v>
      </c>
      <c r="B10" s="3" t="s">
        <v>158</v>
      </c>
    </row>
    <row r="12" spans="1:6" s="2" customFormat="1" x14ac:dyDescent="0.2">
      <c r="A12" s="2" t="s">
        <v>0</v>
      </c>
      <c r="B12" s="2" t="s">
        <v>98</v>
      </c>
      <c r="C12" s="2" t="s">
        <v>99</v>
      </c>
      <c r="D12" s="11"/>
    </row>
    <row r="13" spans="1:6" x14ac:dyDescent="0.2">
      <c r="A13" s="3" t="s">
        <v>2</v>
      </c>
      <c r="B13" s="3" t="s">
        <v>13</v>
      </c>
      <c r="D13" s="15">
        <v>109</v>
      </c>
      <c r="E13" s="2" t="s">
        <v>14</v>
      </c>
      <c r="F13" s="3" t="s">
        <v>129</v>
      </c>
    </row>
    <row r="14" spans="1:6" x14ac:dyDescent="0.2">
      <c r="A14" s="3" t="s">
        <v>4</v>
      </c>
      <c r="B14" s="3" t="s">
        <v>13</v>
      </c>
      <c r="D14" s="15">
        <v>103</v>
      </c>
      <c r="E14" s="2" t="s">
        <v>14</v>
      </c>
      <c r="F14" s="3" t="s">
        <v>129</v>
      </c>
    </row>
    <row r="15" spans="1:6" x14ac:dyDescent="0.2">
      <c r="A15" s="3" t="s">
        <v>3</v>
      </c>
      <c r="B15" s="3" t="s">
        <v>97</v>
      </c>
      <c r="C15" s="3" t="s">
        <v>54</v>
      </c>
      <c r="D15" s="16">
        <v>19</v>
      </c>
      <c r="E15" s="2" t="s">
        <v>14</v>
      </c>
      <c r="F15" s="3" t="s">
        <v>129</v>
      </c>
    </row>
    <row r="16" spans="1:6" x14ac:dyDescent="0.2">
      <c r="A16" s="3" t="s">
        <v>41</v>
      </c>
      <c r="C16" s="3" t="s">
        <v>61</v>
      </c>
      <c r="D16" s="17">
        <f>SUM(D13:D15)</f>
        <v>231</v>
      </c>
      <c r="E16" s="2" t="s">
        <v>14</v>
      </c>
      <c r="F16" s="3" t="s">
        <v>129</v>
      </c>
    </row>
    <row r="18" spans="1:6" x14ac:dyDescent="0.2">
      <c r="A18" s="3" t="s">
        <v>132</v>
      </c>
      <c r="B18" s="3" t="s">
        <v>140</v>
      </c>
      <c r="C18" s="3" t="s">
        <v>101</v>
      </c>
      <c r="D18" s="12" t="s">
        <v>15</v>
      </c>
      <c r="F18" s="3" t="s">
        <v>141</v>
      </c>
    </row>
    <row r="20" spans="1:6" x14ac:dyDescent="0.2">
      <c r="A20" s="3" t="s">
        <v>9</v>
      </c>
      <c r="B20" s="3" t="s">
        <v>140</v>
      </c>
      <c r="C20" s="3" t="s">
        <v>102</v>
      </c>
      <c r="D20" s="12">
        <v>2000</v>
      </c>
    </row>
    <row r="21" spans="1:6" x14ac:dyDescent="0.2">
      <c r="A21" s="3" t="s">
        <v>50</v>
      </c>
      <c r="B21" s="3" t="s">
        <v>51</v>
      </c>
      <c r="C21" s="3" t="s">
        <v>103</v>
      </c>
      <c r="D21" s="3">
        <v>2016</v>
      </c>
    </row>
    <row r="22" spans="1:6" x14ac:dyDescent="0.2">
      <c r="A22" s="3" t="s">
        <v>49</v>
      </c>
      <c r="C22" s="3" t="s">
        <v>125</v>
      </c>
      <c r="D22" s="3">
        <f>D21-D20</f>
        <v>16</v>
      </c>
      <c r="E22" s="3" t="s">
        <v>52</v>
      </c>
    </row>
    <row r="23" spans="1:6" x14ac:dyDescent="0.2">
      <c r="A23" s="3" t="s">
        <v>53</v>
      </c>
      <c r="B23" s="3" t="s">
        <v>76</v>
      </c>
      <c r="C23" s="3" t="s">
        <v>104</v>
      </c>
      <c r="D23" s="8">
        <f>IF(D22&gt;10,20%,10%)</f>
        <v>0.2</v>
      </c>
    </row>
    <row r="24" spans="1:6" x14ac:dyDescent="0.2">
      <c r="D24" s="3"/>
    </row>
    <row r="25" spans="1:6" x14ac:dyDescent="0.2">
      <c r="A25" s="3" t="s">
        <v>55</v>
      </c>
      <c r="C25" s="3" t="s">
        <v>105</v>
      </c>
      <c r="D25" s="12" t="s">
        <v>61</v>
      </c>
    </row>
    <row r="26" spans="1:6" x14ac:dyDescent="0.2">
      <c r="A26" s="3" t="s">
        <v>78</v>
      </c>
      <c r="C26" s="3" t="s">
        <v>106</v>
      </c>
      <c r="D26" s="33">
        <v>120000</v>
      </c>
      <c r="F26" s="3" t="s">
        <v>152</v>
      </c>
    </row>
    <row r="27" spans="1:6" x14ac:dyDescent="0.2">
      <c r="A27" s="3" t="s">
        <v>10</v>
      </c>
      <c r="C27" s="3" t="s">
        <v>107</v>
      </c>
      <c r="D27" s="13">
        <v>20000</v>
      </c>
      <c r="F27" s="3" t="s">
        <v>150</v>
      </c>
    </row>
    <row r="28" spans="1:6" x14ac:dyDescent="0.2">
      <c r="A28" s="3" t="s">
        <v>11</v>
      </c>
      <c r="B28" s="3" t="s">
        <v>133</v>
      </c>
      <c r="C28" s="3" t="s">
        <v>108</v>
      </c>
      <c r="D28" s="13">
        <v>20000</v>
      </c>
      <c r="F28" s="3" t="s">
        <v>150</v>
      </c>
    </row>
    <row r="29" spans="1:6" x14ac:dyDescent="0.2">
      <c r="A29" s="3" t="s">
        <v>12</v>
      </c>
      <c r="B29" s="3" t="s">
        <v>133</v>
      </c>
      <c r="C29" s="3" t="s">
        <v>109</v>
      </c>
      <c r="D29" s="13">
        <v>0</v>
      </c>
      <c r="F29" s="3" t="s">
        <v>150</v>
      </c>
    </row>
    <row r="30" spans="1:6" x14ac:dyDescent="0.2">
      <c r="A30" s="3" t="s">
        <v>77</v>
      </c>
      <c r="B30" s="3" t="s">
        <v>133</v>
      </c>
      <c r="C30" s="3" t="s">
        <v>124</v>
      </c>
      <c r="D30" s="14">
        <f>SUM(D27:D29)</f>
        <v>40000</v>
      </c>
    </row>
    <row r="32" spans="1:6" x14ac:dyDescent="0.2">
      <c r="A32" s="3" t="s">
        <v>81</v>
      </c>
      <c r="B32" s="3" t="s">
        <v>131</v>
      </c>
      <c r="C32" s="3" t="s">
        <v>110</v>
      </c>
      <c r="D32" s="30">
        <v>-6000</v>
      </c>
      <c r="F32" s="3" t="s">
        <v>149</v>
      </c>
    </row>
    <row r="33" spans="1:6" x14ac:dyDescent="0.2">
      <c r="A33" s="3" t="s">
        <v>79</v>
      </c>
      <c r="C33" s="3" t="s">
        <v>123</v>
      </c>
      <c r="D33" s="31">
        <f>-D30*D23</f>
        <v>-8000</v>
      </c>
      <c r="F33" s="3" t="s">
        <v>149</v>
      </c>
    </row>
    <row r="34" spans="1:6" x14ac:dyDescent="0.2">
      <c r="A34" s="3" t="s">
        <v>80</v>
      </c>
      <c r="C34" s="58" t="s">
        <v>122</v>
      </c>
      <c r="D34" s="28">
        <f>SUM(D30:D33)</f>
        <v>26000</v>
      </c>
      <c r="F34" s="3" t="s">
        <v>151</v>
      </c>
    </row>
    <row r="36" spans="1:6" ht="16" thickBot="1" x14ac:dyDescent="0.25"/>
    <row r="37" spans="1:6" ht="16" thickBot="1" x14ac:dyDescent="0.25">
      <c r="A37" s="3" t="s">
        <v>144</v>
      </c>
      <c r="B37" s="3" t="s">
        <v>146</v>
      </c>
      <c r="C37" s="3" t="s">
        <v>111</v>
      </c>
      <c r="D37" s="54">
        <f>Kantone!E28</f>
        <v>5.5883333333333333E-2</v>
      </c>
      <c r="F37" s="3" t="s">
        <v>130</v>
      </c>
    </row>
    <row r="38" spans="1:6" x14ac:dyDescent="0.2">
      <c r="A38" s="3" t="s">
        <v>85</v>
      </c>
      <c r="C38" s="3" t="s">
        <v>121</v>
      </c>
      <c r="D38" s="39">
        <f>D26*D37</f>
        <v>6706</v>
      </c>
    </row>
    <row r="39" spans="1:6" x14ac:dyDescent="0.2">
      <c r="A39" s="3" t="s">
        <v>86</v>
      </c>
      <c r="C39" s="3" t="s">
        <v>120</v>
      </c>
      <c r="D39" s="40">
        <f>D16*D38/100</f>
        <v>15490.86</v>
      </c>
    </row>
    <row r="43" spans="1:6" ht="16" thickBot="1" x14ac:dyDescent="0.25">
      <c r="A43" s="3" t="s">
        <v>90</v>
      </c>
      <c r="C43" s="3" t="s">
        <v>119</v>
      </c>
      <c r="D43" s="32">
        <f>D26-D34</f>
        <v>94000</v>
      </c>
    </row>
    <row r="44" spans="1:6" ht="16" thickBot="1" x14ac:dyDescent="0.25">
      <c r="A44" s="3" t="s">
        <v>145</v>
      </c>
      <c r="B44" s="3" t="s">
        <v>146</v>
      </c>
      <c r="C44" s="3" t="s">
        <v>112</v>
      </c>
      <c r="D44" s="54">
        <f>Kantone!F28</f>
        <v>4.7829787234042555E-2</v>
      </c>
      <c r="F44" s="3" t="s">
        <v>130</v>
      </c>
    </row>
    <row r="45" spans="1:6" x14ac:dyDescent="0.2">
      <c r="A45" s="3" t="s">
        <v>85</v>
      </c>
      <c r="C45" s="3" t="s">
        <v>118</v>
      </c>
      <c r="D45" s="32">
        <f>D44*D43</f>
        <v>4496</v>
      </c>
    </row>
    <row r="46" spans="1:6" x14ac:dyDescent="0.2">
      <c r="A46" s="3" t="s">
        <v>86</v>
      </c>
      <c r="C46" s="3" t="s">
        <v>117</v>
      </c>
      <c r="D46" s="49">
        <f>D45*D16/100</f>
        <v>10385.76</v>
      </c>
    </row>
    <row r="48" spans="1:6" ht="16" thickBot="1" x14ac:dyDescent="0.25">
      <c r="A48" s="3" t="s">
        <v>95</v>
      </c>
      <c r="C48" s="3" t="s">
        <v>116</v>
      </c>
      <c r="D48" s="32">
        <f>D39-D46</f>
        <v>5105.1000000000004</v>
      </c>
    </row>
    <row r="49" spans="1:6" x14ac:dyDescent="0.2">
      <c r="A49" s="3" t="s">
        <v>91</v>
      </c>
      <c r="B49" s="42">
        <v>0.1</v>
      </c>
      <c r="C49" s="48" t="s">
        <v>113</v>
      </c>
      <c r="D49" s="32">
        <f>-D27*B49</f>
        <v>-2000</v>
      </c>
    </row>
    <row r="50" spans="1:6" x14ac:dyDescent="0.2">
      <c r="A50" s="3" t="s">
        <v>92</v>
      </c>
      <c r="B50" s="43">
        <v>0.06</v>
      </c>
      <c r="C50" s="48" t="s">
        <v>114</v>
      </c>
      <c r="D50" s="32">
        <f t="shared" ref="D50:D51" si="0">-D28*B50</f>
        <v>-1200</v>
      </c>
    </row>
    <row r="51" spans="1:6" ht="16" thickBot="1" x14ac:dyDescent="0.25">
      <c r="A51" s="3" t="s">
        <v>93</v>
      </c>
      <c r="B51" s="44">
        <v>0.08</v>
      </c>
      <c r="C51" s="48" t="s">
        <v>115</v>
      </c>
      <c r="D51" s="32">
        <f t="shared" si="0"/>
        <v>0</v>
      </c>
    </row>
    <row r="52" spans="1:6" x14ac:dyDescent="0.2">
      <c r="A52" s="3" t="s">
        <v>94</v>
      </c>
      <c r="B52" s="3" t="s">
        <v>100</v>
      </c>
      <c r="C52" s="47" t="s">
        <v>127</v>
      </c>
      <c r="D52" s="29">
        <f>-D44*D43*E59</f>
        <v>-140.75979719654043</v>
      </c>
    </row>
    <row r="53" spans="1:6" x14ac:dyDescent="0.2">
      <c r="A53" s="3" t="s">
        <v>96</v>
      </c>
      <c r="C53" s="47" t="s">
        <v>128</v>
      </c>
      <c r="D53" s="41">
        <f>SUM(D48:D52)</f>
        <v>1764.34020280346</v>
      </c>
    </row>
    <row r="54" spans="1:6" x14ac:dyDescent="0.2">
      <c r="C54" s="47"/>
      <c r="D54" s="32"/>
    </row>
    <row r="56" spans="1:6" x14ac:dyDescent="0.2">
      <c r="A56" s="3" t="s">
        <v>87</v>
      </c>
      <c r="D56" s="39">
        <f>D15*D26*D37/100</f>
        <v>1274.1400000000001</v>
      </c>
      <c r="E56" s="45">
        <f>D15/100</f>
        <v>0.19</v>
      </c>
      <c r="F56" s="3" t="s">
        <v>130</v>
      </c>
    </row>
    <row r="57" spans="1:6" x14ac:dyDescent="0.2">
      <c r="A57" s="3" t="s">
        <v>88</v>
      </c>
      <c r="D57" s="39">
        <f>D44*D43*D15/100</f>
        <v>854.24</v>
      </c>
      <c r="E57" s="45">
        <f>IF(0&lt;D15,D57/D56*E56,0)</f>
        <v>0.12738443185207277</v>
      </c>
      <c r="F57" s="3" t="s">
        <v>130</v>
      </c>
    </row>
    <row r="58" spans="1:6" x14ac:dyDescent="0.2">
      <c r="A58" s="3" t="s">
        <v>89</v>
      </c>
      <c r="D58" s="39">
        <f>D56-D57</f>
        <v>419.90000000000009</v>
      </c>
      <c r="E58" s="46">
        <f>E56-E57</f>
        <v>6.2615568147927236E-2</v>
      </c>
      <c r="F58" s="3" t="s">
        <v>130</v>
      </c>
    </row>
    <row r="59" spans="1:6" ht="30" x14ac:dyDescent="0.2">
      <c r="A59" s="3" t="s">
        <v>134</v>
      </c>
      <c r="C59" s="3" t="s">
        <v>126</v>
      </c>
      <c r="E59" s="45">
        <f>E58/2</f>
        <v>3.1307784073963618E-2</v>
      </c>
      <c r="F59" s="3" t="s">
        <v>130</v>
      </c>
    </row>
  </sheetData>
  <dataValidations count="6">
    <dataValidation type="list" allowBlank="1" showInputMessage="1" showErrorMessage="1" sqref="D25">
      <formula1>"A,B"</formula1>
    </dataValidation>
    <dataValidation type="whole" allowBlank="1" showInputMessage="1" showErrorMessage="1" sqref="D32">
      <formula1>-40000</formula1>
      <formula2>0</formula2>
    </dataValidation>
    <dataValidation type="list" allowBlank="1" showInputMessage="1" showErrorMessage="1" sqref="B18"/>
    <dataValidation type="list" showInputMessage="1" showErrorMessage="1" sqref="D18">
      <formula1>"AG,BE,BS,ZG,ZH"</formula1>
    </dataValidation>
    <dataValidation type="whole" allowBlank="1" showInputMessage="1" showErrorMessage="1" sqref="D13 D14">
      <formula1>50</formula1>
      <formula2>150</formula2>
    </dataValidation>
    <dataValidation type="whole" allowBlank="1" showInputMessage="1" showErrorMessage="1" sqref="D15">
      <formula1>0</formula1>
      <formula2>30</formula2>
    </dataValidation>
  </dataValidations>
  <pageMargins left="0.7" right="0.7" top="0.78740157499999996" bottom="0.78740157499999996" header="0.3" footer="0.3"/>
  <pageSetup paperSize="9" orientation="portrait" r:id="rId1"/>
  <headerFooter>
    <oddHeader>&amp;C&amp;D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Kantone!A2:A80</xm:f>
          </x14:formula1>
          <xm:sqref>D20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2" workbookViewId="0">
      <selection activeCell="A3" sqref="A3:E21"/>
    </sheetView>
  </sheetViews>
  <sheetFormatPr baseColWidth="10" defaultRowHeight="15" x14ac:dyDescent="0.2"/>
  <cols>
    <col min="1" max="1" width="19.5" customWidth="1"/>
    <col min="2" max="2" width="13.1640625" customWidth="1"/>
    <col min="3" max="3" width="12.1640625" customWidth="1"/>
    <col min="4" max="4" width="17.83203125" customWidth="1"/>
    <col min="7" max="7" width="16.33203125" customWidth="1"/>
    <col min="8" max="8" width="12.6640625" customWidth="1"/>
    <col min="9" max="9" width="15" customWidth="1"/>
    <col min="10" max="10" width="12.5" bestFit="1" customWidth="1"/>
    <col min="11" max="11" width="17.1640625" customWidth="1"/>
    <col min="12" max="12" width="19.5" customWidth="1"/>
    <col min="13" max="13" width="14.33203125" customWidth="1"/>
    <col min="15" max="15" width="15" customWidth="1"/>
    <col min="16" max="16" width="12.5" bestFit="1" customWidth="1"/>
    <col min="17" max="17" width="13.1640625" customWidth="1"/>
    <col min="18" max="18" width="19.5" customWidth="1"/>
  </cols>
  <sheetData>
    <row r="1" spans="1:11" x14ac:dyDescent="0.2">
      <c r="A1" s="18"/>
      <c r="B1" s="18"/>
      <c r="C1" s="18"/>
      <c r="D1" s="18"/>
      <c r="E1" s="18"/>
      <c r="F1" s="18"/>
      <c r="G1" s="18"/>
    </row>
    <row r="2" spans="1:11" x14ac:dyDescent="0.2">
      <c r="A2" s="18" t="s">
        <v>184</v>
      </c>
      <c r="B2" s="18"/>
      <c r="C2" s="18"/>
      <c r="D2" s="18"/>
      <c r="E2" s="18"/>
      <c r="F2" s="18"/>
      <c r="G2" s="18"/>
    </row>
    <row r="3" spans="1:11" ht="30" x14ac:dyDescent="0.2">
      <c r="A3" s="61" t="s">
        <v>168</v>
      </c>
      <c r="B3" s="18"/>
      <c r="C3" s="18"/>
      <c r="D3" s="18"/>
      <c r="E3" s="18"/>
      <c r="F3" s="18"/>
      <c r="G3" s="61" t="s">
        <v>168</v>
      </c>
    </row>
    <row r="4" spans="1:11" ht="12" customHeight="1" x14ac:dyDescent="0.2">
      <c r="A4" s="1" t="s">
        <v>166</v>
      </c>
      <c r="G4" s="1" t="s">
        <v>167</v>
      </c>
    </row>
    <row r="6" spans="1:11" ht="17" customHeight="1" x14ac:dyDescent="0.2"/>
    <row r="7" spans="1:11" ht="15" customHeight="1" x14ac:dyDescent="0.2">
      <c r="A7" s="22" t="s">
        <v>62</v>
      </c>
      <c r="B7" s="22" t="s">
        <v>69</v>
      </c>
      <c r="C7" s="22" t="s">
        <v>160</v>
      </c>
      <c r="D7" s="22" t="s">
        <v>164</v>
      </c>
      <c r="E7" s="22" t="s">
        <v>161</v>
      </c>
      <c r="G7" s="22" t="s">
        <v>62</v>
      </c>
      <c r="H7" s="22" t="s">
        <v>69</v>
      </c>
      <c r="I7" s="22" t="s">
        <v>160</v>
      </c>
      <c r="J7" s="22" t="s">
        <v>164</v>
      </c>
      <c r="K7" s="22" t="s">
        <v>161</v>
      </c>
    </row>
    <row r="8" spans="1:11" x14ac:dyDescent="0.2">
      <c r="E8" s="60">
        <f>(IF($B$25&gt;=$B8,$C8+((($B$25-$B8)/100)*$D8),0))</f>
        <v>0</v>
      </c>
    </row>
    <row r="9" spans="1:11" ht="18" customHeight="1" x14ac:dyDescent="0.2">
      <c r="A9" t="s">
        <v>162</v>
      </c>
      <c r="B9" s="59">
        <v>6700</v>
      </c>
      <c r="C9" s="59">
        <v>0</v>
      </c>
      <c r="D9" s="59">
        <v>0</v>
      </c>
      <c r="E9" s="59">
        <f t="shared" ref="E9:E21" si="0">IF(AND($B$25&gt;=$B9,$B$25&lt;$B10),$C9+((($B$25-$B9)/100)*$D9),0)</f>
        <v>0</v>
      </c>
      <c r="G9" t="s">
        <v>162</v>
      </c>
      <c r="H9" s="59">
        <v>13500</v>
      </c>
      <c r="I9" s="59">
        <v>0</v>
      </c>
      <c r="J9" s="59">
        <v>0</v>
      </c>
      <c r="K9" s="59">
        <f t="shared" ref="K9:K21" si="1">IF(AND($H$25&gt;=$H9,$H$25&lt;$H10),$I9+((($H$25-$H9)/100)*$J9),0)</f>
        <v>0</v>
      </c>
    </row>
    <row r="10" spans="1:11" ht="19" customHeight="1" x14ac:dyDescent="0.2">
      <c r="A10" t="s">
        <v>163</v>
      </c>
      <c r="B10" s="59">
        <v>6700</v>
      </c>
      <c r="C10" s="59">
        <v>0</v>
      </c>
      <c r="D10" s="59">
        <v>2</v>
      </c>
      <c r="E10" s="59">
        <f t="shared" si="0"/>
        <v>0</v>
      </c>
      <c r="G10" t="s">
        <v>163</v>
      </c>
      <c r="H10" s="59">
        <v>13500</v>
      </c>
      <c r="I10" s="59">
        <v>0</v>
      </c>
      <c r="J10" s="59">
        <v>2</v>
      </c>
      <c r="K10" s="59">
        <f t="shared" si="1"/>
        <v>0</v>
      </c>
    </row>
    <row r="11" spans="1:11" ht="17" customHeight="1" x14ac:dyDescent="0.2">
      <c r="A11" t="s">
        <v>163</v>
      </c>
      <c r="B11" s="59">
        <v>11400</v>
      </c>
      <c r="C11" s="59">
        <v>93</v>
      </c>
      <c r="D11" s="59">
        <v>3</v>
      </c>
      <c r="E11" s="59">
        <f t="shared" si="0"/>
        <v>0</v>
      </c>
      <c r="G11" t="s">
        <v>163</v>
      </c>
      <c r="H11" s="59">
        <v>19600</v>
      </c>
      <c r="I11" s="59">
        <v>121</v>
      </c>
      <c r="J11" s="59">
        <v>3</v>
      </c>
      <c r="K11" s="59">
        <f t="shared" si="1"/>
        <v>0</v>
      </c>
    </row>
    <row r="12" spans="1:11" ht="17" customHeight="1" x14ac:dyDescent="0.2">
      <c r="A12" t="s">
        <v>163</v>
      </c>
      <c r="B12" s="59">
        <v>16100</v>
      </c>
      <c r="C12" s="59">
        <v>234</v>
      </c>
      <c r="D12" s="59">
        <v>4</v>
      </c>
      <c r="E12" s="59">
        <f t="shared" si="0"/>
        <v>0</v>
      </c>
      <c r="G12" t="s">
        <v>163</v>
      </c>
      <c r="H12" s="59">
        <v>27300</v>
      </c>
      <c r="I12" s="59">
        <v>352</v>
      </c>
      <c r="J12" s="59">
        <v>4</v>
      </c>
      <c r="K12" s="59">
        <f t="shared" si="1"/>
        <v>0</v>
      </c>
    </row>
    <row r="13" spans="1:11" x14ac:dyDescent="0.2">
      <c r="A13" t="s">
        <v>163</v>
      </c>
      <c r="B13" s="59">
        <v>23700</v>
      </c>
      <c r="C13" s="59">
        <v>538</v>
      </c>
      <c r="D13" s="59">
        <v>5</v>
      </c>
      <c r="E13" s="59">
        <f t="shared" si="0"/>
        <v>0</v>
      </c>
      <c r="G13" t="s">
        <v>163</v>
      </c>
      <c r="H13" s="59">
        <v>36700</v>
      </c>
      <c r="I13" s="59">
        <v>728</v>
      </c>
      <c r="J13" s="59">
        <v>5</v>
      </c>
      <c r="K13" s="59">
        <f t="shared" si="1"/>
        <v>0</v>
      </c>
    </row>
    <row r="14" spans="1:11" x14ac:dyDescent="0.2">
      <c r="A14" t="s">
        <v>163</v>
      </c>
      <c r="B14" s="59">
        <v>33000</v>
      </c>
      <c r="C14" s="59">
        <v>1003</v>
      </c>
      <c r="D14" s="59">
        <v>6</v>
      </c>
      <c r="E14" s="59">
        <f t="shared" si="0"/>
        <v>0</v>
      </c>
      <c r="G14" t="s">
        <v>163</v>
      </c>
      <c r="H14" s="59">
        <v>47400</v>
      </c>
      <c r="I14" s="59">
        <v>1263</v>
      </c>
      <c r="J14" s="59">
        <v>6</v>
      </c>
      <c r="K14" s="59">
        <f t="shared" si="1"/>
        <v>0</v>
      </c>
    </row>
    <row r="15" spans="1:11" x14ac:dyDescent="0.2">
      <c r="A15" t="s">
        <v>163</v>
      </c>
      <c r="B15" s="59">
        <v>43700</v>
      </c>
      <c r="C15" s="59">
        <v>1645</v>
      </c>
      <c r="D15" s="59">
        <v>7</v>
      </c>
      <c r="E15" s="59">
        <f t="shared" si="0"/>
        <v>0</v>
      </c>
      <c r="G15" t="s">
        <v>163</v>
      </c>
      <c r="H15" s="59">
        <v>61300</v>
      </c>
      <c r="I15" s="59">
        <v>2097</v>
      </c>
      <c r="J15" s="59">
        <v>7</v>
      </c>
      <c r="K15" s="59">
        <f t="shared" si="1"/>
        <v>3756</v>
      </c>
    </row>
    <row r="16" spans="1:11" x14ac:dyDescent="0.2">
      <c r="A16" t="s">
        <v>163</v>
      </c>
      <c r="B16" s="59">
        <v>56100</v>
      </c>
      <c r="C16" s="59">
        <v>2513</v>
      </c>
      <c r="D16" s="59">
        <v>8</v>
      </c>
      <c r="E16" s="59">
        <f t="shared" si="0"/>
        <v>0</v>
      </c>
      <c r="G16" t="s">
        <v>163</v>
      </c>
      <c r="H16" s="59">
        <v>92100</v>
      </c>
      <c r="I16" s="59">
        <v>4253</v>
      </c>
      <c r="J16" s="59">
        <v>8</v>
      </c>
      <c r="K16" s="59">
        <f t="shared" si="1"/>
        <v>0</v>
      </c>
    </row>
    <row r="17" spans="1:11" x14ac:dyDescent="0.2">
      <c r="A17" t="s">
        <v>163</v>
      </c>
      <c r="B17" s="59">
        <v>73000</v>
      </c>
      <c r="C17" s="59">
        <v>3865</v>
      </c>
      <c r="D17" s="59">
        <v>9</v>
      </c>
      <c r="E17" s="59">
        <f t="shared" si="0"/>
        <v>4945</v>
      </c>
      <c r="G17" t="s">
        <v>163</v>
      </c>
      <c r="H17" s="59">
        <v>122900</v>
      </c>
      <c r="I17" s="59">
        <v>6717</v>
      </c>
      <c r="J17" s="59">
        <v>9</v>
      </c>
      <c r="K17" s="59">
        <f t="shared" si="1"/>
        <v>0</v>
      </c>
    </row>
    <row r="18" spans="1:11" x14ac:dyDescent="0.2">
      <c r="A18" t="s">
        <v>163</v>
      </c>
      <c r="B18" s="59">
        <v>105500</v>
      </c>
      <c r="C18" s="59">
        <v>6789</v>
      </c>
      <c r="D18" s="59">
        <v>10</v>
      </c>
      <c r="E18" s="59">
        <f t="shared" si="0"/>
        <v>0</v>
      </c>
      <c r="G18" t="s">
        <v>163</v>
      </c>
      <c r="H18" s="59">
        <v>169300</v>
      </c>
      <c r="I18" s="59">
        <v>10892</v>
      </c>
      <c r="J18" s="59">
        <v>10</v>
      </c>
      <c r="K18" s="59">
        <f t="shared" si="1"/>
        <v>0</v>
      </c>
    </row>
    <row r="19" spans="1:11" x14ac:dyDescent="0.2">
      <c r="A19" t="s">
        <v>163</v>
      </c>
      <c r="B19" s="59">
        <v>137700</v>
      </c>
      <c r="C19" s="59">
        <v>10010</v>
      </c>
      <c r="D19" s="59">
        <v>11</v>
      </c>
      <c r="E19" s="59">
        <f t="shared" si="0"/>
        <v>0</v>
      </c>
      <c r="G19" t="s">
        <v>163</v>
      </c>
      <c r="H19" s="59">
        <v>224700</v>
      </c>
      <c r="I19" s="59">
        <v>16432</v>
      </c>
      <c r="J19" s="59">
        <v>11</v>
      </c>
      <c r="K19" s="59">
        <f t="shared" si="1"/>
        <v>0</v>
      </c>
    </row>
    <row r="20" spans="1:11" x14ac:dyDescent="0.2">
      <c r="A20" t="s">
        <v>163</v>
      </c>
      <c r="B20" s="59">
        <v>188700</v>
      </c>
      <c r="C20" s="59">
        <v>15620</v>
      </c>
      <c r="D20" s="59">
        <v>12</v>
      </c>
      <c r="E20" s="59">
        <f t="shared" si="0"/>
        <v>0</v>
      </c>
      <c r="G20" t="s">
        <v>163</v>
      </c>
      <c r="H20" s="59">
        <v>284800</v>
      </c>
      <c r="I20" s="59">
        <v>23043</v>
      </c>
      <c r="J20" s="59">
        <v>12</v>
      </c>
      <c r="K20" s="59">
        <f t="shared" si="1"/>
        <v>0</v>
      </c>
    </row>
    <row r="21" spans="1:11" x14ac:dyDescent="0.2">
      <c r="A21" t="s">
        <v>163</v>
      </c>
      <c r="B21" s="59">
        <v>254900</v>
      </c>
      <c r="C21" s="59">
        <v>23562</v>
      </c>
      <c r="D21" s="59">
        <v>13</v>
      </c>
      <c r="E21" s="59">
        <f t="shared" si="0"/>
        <v>0</v>
      </c>
      <c r="G21" t="s">
        <v>163</v>
      </c>
      <c r="H21" s="59">
        <v>354100</v>
      </c>
      <c r="I21" s="59">
        <v>31359</v>
      </c>
      <c r="J21" s="59">
        <v>13</v>
      </c>
      <c r="K21" s="59">
        <f t="shared" si="1"/>
        <v>0</v>
      </c>
    </row>
    <row r="25" spans="1:11" ht="13" customHeight="1" x14ac:dyDescent="0.2">
      <c r="A25" s="1" t="s">
        <v>165</v>
      </c>
      <c r="B25" s="59">
        <v>85000</v>
      </c>
      <c r="G25" s="1" t="s">
        <v>165</v>
      </c>
      <c r="H25" s="59">
        <v>85000</v>
      </c>
    </row>
    <row r="26" spans="1:11" ht="15" customHeight="1" x14ac:dyDescent="0.2">
      <c r="A26" s="1" t="s">
        <v>60</v>
      </c>
      <c r="B26" s="59">
        <f>SUM(E10:E21)</f>
        <v>4945</v>
      </c>
      <c r="G26" s="1" t="s">
        <v>60</v>
      </c>
      <c r="H26" s="59">
        <f>SUM(K9:K21)</f>
        <v>3756</v>
      </c>
    </row>
    <row r="27" spans="1:11" ht="17" customHeight="1" x14ac:dyDescent="0.2">
      <c r="A27" s="18"/>
      <c r="B27" s="18"/>
      <c r="C27" s="18"/>
      <c r="D27" s="18"/>
      <c r="E27" s="18"/>
      <c r="F27" s="18"/>
      <c r="G27" s="18"/>
    </row>
    <row r="28" spans="1:11" ht="14" customHeight="1" x14ac:dyDescent="0.2">
      <c r="A28" s="18"/>
      <c r="B28" s="18"/>
      <c r="C28" s="18"/>
      <c r="D28" s="18"/>
      <c r="E28" s="18"/>
      <c r="F28" s="18"/>
      <c r="G28" s="18"/>
    </row>
    <row r="29" spans="1:11" x14ac:dyDescent="0.2">
      <c r="A29" s="18"/>
      <c r="B29" s="18"/>
      <c r="C29" s="18"/>
      <c r="D29" s="18"/>
      <c r="E29" s="18"/>
      <c r="F29" s="18"/>
      <c r="G29" s="18"/>
    </row>
    <row r="30" spans="1:11" x14ac:dyDescent="0.2">
      <c r="A30" s="70" t="s">
        <v>185</v>
      </c>
      <c r="B30" s="18"/>
      <c r="C30" s="18"/>
      <c r="D30" s="18"/>
      <c r="E30" s="18"/>
      <c r="F30" s="18"/>
      <c r="G30" s="18"/>
    </row>
    <row r="31" spans="1:11" x14ac:dyDescent="0.2">
      <c r="A31" s="18"/>
      <c r="B31" s="18"/>
      <c r="C31" s="18"/>
      <c r="D31" s="18"/>
      <c r="E31" s="18"/>
      <c r="F31" s="18"/>
      <c r="G31" s="18"/>
    </row>
    <row r="32" spans="1:11" x14ac:dyDescent="0.2">
      <c r="A32" s="18"/>
      <c r="B32" s="18"/>
      <c r="C32" s="18"/>
      <c r="D32" s="18"/>
      <c r="E32" s="18"/>
      <c r="F32" s="18"/>
      <c r="G32" s="18"/>
    </row>
    <row r="33" spans="1:7" x14ac:dyDescent="0.2">
      <c r="A33" s="18"/>
      <c r="B33" s="18"/>
      <c r="C33" s="18"/>
      <c r="D33" s="18"/>
      <c r="E33" s="18"/>
      <c r="F33" s="18"/>
      <c r="G33" s="18"/>
    </row>
    <row r="34" spans="1:7" x14ac:dyDescent="0.2">
      <c r="A34" s="18"/>
      <c r="B34" s="18"/>
      <c r="C34" s="18"/>
      <c r="D34" s="18"/>
      <c r="E34" s="18"/>
      <c r="F34" s="18"/>
      <c r="G34" s="18"/>
    </row>
    <row r="35" spans="1:7" x14ac:dyDescent="0.2">
      <c r="A35" s="18"/>
      <c r="B35" s="18"/>
      <c r="C35" s="18"/>
      <c r="D35" s="18"/>
      <c r="E35" s="18"/>
      <c r="F35" s="18"/>
      <c r="G35" s="18"/>
    </row>
    <row r="36" spans="1:7" x14ac:dyDescent="0.2">
      <c r="A36" s="18"/>
      <c r="B36" s="18"/>
      <c r="C36" s="18"/>
      <c r="D36" s="18"/>
      <c r="E36" s="18"/>
      <c r="F36" s="18"/>
      <c r="G36" s="18"/>
    </row>
    <row r="37" spans="1:7" x14ac:dyDescent="0.2">
      <c r="A37" s="18"/>
      <c r="B37" s="18"/>
      <c r="C37" s="23"/>
      <c r="D37" s="23"/>
      <c r="E37" s="18"/>
      <c r="F37" s="18"/>
      <c r="G37" s="18"/>
    </row>
    <row r="38" spans="1:7" ht="18" customHeight="1" x14ac:dyDescent="0.2">
      <c r="A38" s="18"/>
      <c r="B38" s="18"/>
      <c r="C38" s="18"/>
      <c r="D38" s="24"/>
      <c r="E38" s="25"/>
      <c r="F38" s="25"/>
      <c r="G38" s="18"/>
    </row>
    <row r="39" spans="1:7" ht="22" customHeight="1" x14ac:dyDescent="0.2">
      <c r="A39" s="18"/>
      <c r="B39" s="18"/>
      <c r="C39" s="18"/>
      <c r="D39" s="24"/>
      <c r="E39" s="25"/>
      <c r="F39" s="25"/>
      <c r="G39" s="18"/>
    </row>
    <row r="40" spans="1:7" ht="21" customHeight="1" x14ac:dyDescent="0.2">
      <c r="A40" s="18"/>
      <c r="B40" s="18"/>
      <c r="C40" s="18"/>
      <c r="D40" s="24"/>
      <c r="E40" s="25"/>
      <c r="F40" s="25"/>
      <c r="G40" s="18"/>
    </row>
    <row r="41" spans="1:7" ht="15" customHeight="1" x14ac:dyDescent="0.2">
      <c r="A41" s="18"/>
      <c r="B41" s="18"/>
      <c r="C41" s="18"/>
      <c r="D41" s="24"/>
      <c r="E41" s="25"/>
      <c r="F41" s="25"/>
      <c r="G41" s="18"/>
    </row>
    <row r="42" spans="1:7" x14ac:dyDescent="0.2">
      <c r="A42" s="18"/>
      <c r="B42" s="18"/>
      <c r="C42" s="18"/>
      <c r="D42" s="24"/>
      <c r="E42" s="25"/>
      <c r="F42" s="25"/>
      <c r="G42" s="18"/>
    </row>
    <row r="43" spans="1:7" x14ac:dyDescent="0.2">
      <c r="A43" s="18"/>
      <c r="B43" s="18"/>
      <c r="C43" s="18"/>
      <c r="D43" s="24"/>
      <c r="E43" s="25"/>
      <c r="F43" s="25"/>
      <c r="G43" s="18"/>
    </row>
    <row r="44" spans="1:7" x14ac:dyDescent="0.2">
      <c r="A44" s="18"/>
      <c r="B44" s="18"/>
      <c r="C44" s="18"/>
      <c r="D44" s="24"/>
      <c r="E44" s="25"/>
      <c r="F44" s="25"/>
      <c r="G44" s="18"/>
    </row>
    <row r="45" spans="1:7" x14ac:dyDescent="0.2">
      <c r="A45" s="18"/>
      <c r="B45" s="18"/>
      <c r="C45" s="18"/>
      <c r="D45" s="24"/>
      <c r="E45" s="25"/>
      <c r="F45" s="25"/>
      <c r="G45" s="18"/>
    </row>
    <row r="46" spans="1:7" x14ac:dyDescent="0.2">
      <c r="A46" s="18"/>
      <c r="B46" s="18"/>
      <c r="C46" s="18"/>
      <c r="D46" s="24"/>
      <c r="E46" s="25"/>
      <c r="F46" s="25"/>
      <c r="G46" s="18"/>
    </row>
    <row r="47" spans="1:7" x14ac:dyDescent="0.2">
      <c r="A47" s="18"/>
      <c r="B47" s="18"/>
      <c r="C47" s="18"/>
      <c r="D47" s="26"/>
      <c r="E47" s="25"/>
      <c r="F47" s="25"/>
      <c r="G47" s="18"/>
    </row>
    <row r="48" spans="1:7" x14ac:dyDescent="0.2">
      <c r="A48" s="18"/>
      <c r="B48" s="18"/>
      <c r="C48" s="18"/>
      <c r="D48" s="24"/>
      <c r="E48" s="25"/>
      <c r="F48" s="25"/>
      <c r="G48" s="18"/>
    </row>
    <row r="49" spans="1:7" x14ac:dyDescent="0.2">
      <c r="A49" s="18"/>
      <c r="B49" s="18"/>
      <c r="C49" s="18"/>
      <c r="D49" s="26"/>
      <c r="E49" s="25"/>
      <c r="F49" s="25"/>
      <c r="G49" s="18"/>
    </row>
    <row r="50" spans="1:7" x14ac:dyDescent="0.2">
      <c r="A50" s="18"/>
      <c r="B50" s="18"/>
      <c r="C50" s="18"/>
      <c r="D50" s="24"/>
      <c r="E50" s="25"/>
      <c r="F50" s="25"/>
      <c r="G50" s="18"/>
    </row>
    <row r="51" spans="1:7" x14ac:dyDescent="0.2">
      <c r="A51" s="18"/>
      <c r="B51" s="18"/>
      <c r="C51" s="18"/>
      <c r="D51" s="26"/>
      <c r="E51" s="25"/>
      <c r="F51" s="25"/>
      <c r="G51" s="18"/>
    </row>
    <row r="52" spans="1:7" x14ac:dyDescent="0.2">
      <c r="A52" s="18"/>
      <c r="B52" s="18"/>
      <c r="C52" s="18"/>
      <c r="D52" s="24"/>
      <c r="E52" s="25"/>
      <c r="F52" s="25"/>
      <c r="G52" s="18"/>
    </row>
    <row r="53" spans="1:7" x14ac:dyDescent="0.2">
      <c r="A53" s="18"/>
      <c r="B53" s="18"/>
      <c r="C53" s="18"/>
      <c r="D53" s="18"/>
      <c r="E53" s="25"/>
      <c r="F53" s="25"/>
      <c r="G53" s="18"/>
    </row>
    <row r="54" spans="1:7" x14ac:dyDescent="0.2">
      <c r="A54" s="18"/>
      <c r="B54" s="18"/>
      <c r="C54" s="18"/>
      <c r="D54" s="18"/>
      <c r="E54" s="25"/>
      <c r="F54" s="18"/>
      <c r="G54" s="18"/>
    </row>
    <row r="55" spans="1:7" ht="12" customHeight="1" x14ac:dyDescent="0.2">
      <c r="A55" s="18"/>
      <c r="B55" s="18"/>
      <c r="C55" s="18"/>
      <c r="D55" s="18"/>
      <c r="E55" s="25"/>
      <c r="F55" s="25"/>
      <c r="G55" s="18"/>
    </row>
    <row r="56" spans="1:7" ht="14" customHeight="1" x14ac:dyDescent="0.2">
      <c r="A56" s="18"/>
      <c r="B56" s="18"/>
      <c r="C56" s="18"/>
      <c r="D56" s="18"/>
      <c r="E56" s="18"/>
      <c r="F56" s="18"/>
      <c r="G56" s="18"/>
    </row>
    <row r="57" spans="1:7" ht="16" customHeight="1" x14ac:dyDescent="0.2">
      <c r="A57" s="38"/>
      <c r="B57" s="18"/>
      <c r="C57" s="18"/>
      <c r="D57" s="18"/>
      <c r="E57" s="27"/>
      <c r="F57" s="27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H49" sqref="H49"/>
    </sheetView>
  </sheetViews>
  <sheetFormatPr baseColWidth="10" defaultRowHeight="15" x14ac:dyDescent="0.2"/>
  <cols>
    <col min="1" max="1" width="22.33203125" customWidth="1"/>
    <col min="2" max="2" width="19.83203125" customWidth="1"/>
    <col min="3" max="3" width="19.33203125" customWidth="1"/>
    <col min="4" max="4" width="16" customWidth="1"/>
    <col min="5" max="5" width="18.33203125" customWidth="1"/>
    <col min="8" max="8" width="19.83203125" customWidth="1"/>
    <col min="9" max="9" width="18.83203125" customWidth="1"/>
  </cols>
  <sheetData>
    <row r="1" spans="1:12" x14ac:dyDescent="0.2">
      <c r="A1" t="s">
        <v>225</v>
      </c>
    </row>
    <row r="3" spans="1:12" x14ac:dyDescent="0.2">
      <c r="A3" s="61" t="s">
        <v>168</v>
      </c>
      <c r="B3" s="18"/>
      <c r="C3" s="18"/>
      <c r="D3" s="18"/>
      <c r="E3" s="18"/>
      <c r="H3" s="61" t="s">
        <v>168</v>
      </c>
      <c r="I3" s="18"/>
      <c r="J3" s="18"/>
      <c r="K3" s="18"/>
      <c r="L3" s="18"/>
    </row>
    <row r="4" spans="1:12" x14ac:dyDescent="0.2">
      <c r="A4" s="1" t="s">
        <v>166</v>
      </c>
      <c r="H4" s="1" t="s">
        <v>167</v>
      </c>
    </row>
    <row r="7" spans="1:12" ht="45" x14ac:dyDescent="0.2">
      <c r="A7" s="22" t="s">
        <v>62</v>
      </c>
      <c r="B7" s="22" t="s">
        <v>69</v>
      </c>
      <c r="C7" s="22" t="s">
        <v>160</v>
      </c>
      <c r="D7" s="22" t="s">
        <v>164</v>
      </c>
      <c r="E7" s="22" t="s">
        <v>161</v>
      </c>
      <c r="H7" s="22" t="s">
        <v>62</v>
      </c>
      <c r="I7" s="22" t="s">
        <v>69</v>
      </c>
      <c r="J7" s="22" t="s">
        <v>160</v>
      </c>
      <c r="K7" s="22" t="s">
        <v>164</v>
      </c>
      <c r="L7" s="22" t="s">
        <v>161</v>
      </c>
    </row>
    <row r="8" spans="1:12" x14ac:dyDescent="0.2">
      <c r="E8" s="60">
        <f>(IF($B$27&gt;=$B8,$C8+((($B$27-$B8)/100)*$D8),0))</f>
        <v>0</v>
      </c>
      <c r="L8" s="60">
        <f>(IF($B$27&gt;=$B8,$C8+((($B$27-$B8)/100)*$D8),0))</f>
        <v>0</v>
      </c>
    </row>
    <row r="9" spans="1:12" x14ac:dyDescent="0.2">
      <c r="A9" t="s">
        <v>162</v>
      </c>
      <c r="B9" s="59">
        <v>1300</v>
      </c>
      <c r="C9" s="59">
        <v>0</v>
      </c>
      <c r="D9" s="59">
        <v>0</v>
      </c>
      <c r="E9" s="59"/>
      <c r="H9" t="s">
        <v>162</v>
      </c>
      <c r="I9" s="59">
        <v>1300</v>
      </c>
      <c r="J9" s="59">
        <v>0</v>
      </c>
      <c r="K9" s="59">
        <v>0</v>
      </c>
      <c r="L9" s="59"/>
    </row>
    <row r="10" spans="1:12" x14ac:dyDescent="0.2">
      <c r="A10" t="s">
        <v>163</v>
      </c>
      <c r="B10" s="59">
        <v>1300</v>
      </c>
      <c r="C10" s="59">
        <v>3.25</v>
      </c>
      <c r="D10" s="59">
        <v>0.5</v>
      </c>
      <c r="E10" s="59">
        <f>IF(AND($B$44&gt;=$B10,$B$44&lt;$B11),$C10+$D10*(($B$44-$B10)/100),0)</f>
        <v>0</v>
      </c>
      <c r="H10" t="s">
        <v>163</v>
      </c>
      <c r="I10" s="59">
        <v>1300</v>
      </c>
      <c r="J10" s="59">
        <v>3.25</v>
      </c>
      <c r="K10" s="59">
        <v>0.5</v>
      </c>
      <c r="L10" s="59">
        <f>IF(AND(($I$44/1.9)&gt;=$I10,($I$44/1.9)&lt;$I11),$J10+$K10*((($I$44/1.9)-$I10)/100),0)</f>
        <v>0</v>
      </c>
    </row>
    <row r="11" spans="1:12" x14ac:dyDescent="0.2">
      <c r="A11" t="s">
        <v>163</v>
      </c>
      <c r="B11" s="59">
        <v>2400</v>
      </c>
      <c r="C11" s="59">
        <v>8.75</v>
      </c>
      <c r="D11" s="59">
        <v>0.75</v>
      </c>
      <c r="E11" s="59">
        <f t="shared" ref="E11:E42" si="0">IF(AND($B$44&gt;=$B11,$B$44&lt;$B12),$C11+$D11*(($B$44-$B11)/100),0)</f>
        <v>0</v>
      </c>
      <c r="H11" t="s">
        <v>163</v>
      </c>
      <c r="I11" s="59">
        <v>2400</v>
      </c>
      <c r="J11" s="59">
        <v>8.75</v>
      </c>
      <c r="K11" s="59">
        <v>0.75</v>
      </c>
      <c r="L11" s="59">
        <f t="shared" ref="L11:L42" si="1">IF(AND(($I$44/1.9)&gt;=$I11,($I$44/1.9)&lt;$I12),$J11+$K11*((($I$44/1.9)-$I11)/100),0)</f>
        <v>0</v>
      </c>
    </row>
    <row r="12" spans="1:12" x14ac:dyDescent="0.2">
      <c r="A12" t="s">
        <v>163</v>
      </c>
      <c r="B12" s="59">
        <v>3400</v>
      </c>
      <c r="C12" s="59">
        <v>16.25</v>
      </c>
      <c r="D12" s="59">
        <v>1</v>
      </c>
      <c r="E12" s="59">
        <f t="shared" si="0"/>
        <v>0</v>
      </c>
      <c r="H12" t="s">
        <v>163</v>
      </c>
      <c r="I12" s="59">
        <v>3400</v>
      </c>
      <c r="J12" s="59">
        <v>16.25</v>
      </c>
      <c r="K12" s="59">
        <v>1</v>
      </c>
      <c r="L12" s="59">
        <f t="shared" si="1"/>
        <v>0</v>
      </c>
    </row>
    <row r="13" spans="1:12" x14ac:dyDescent="0.2">
      <c r="A13" t="s">
        <v>163</v>
      </c>
      <c r="B13" s="59">
        <v>4300</v>
      </c>
      <c r="C13" s="59">
        <v>25.25</v>
      </c>
      <c r="D13" s="59">
        <v>1.25</v>
      </c>
      <c r="E13" s="59">
        <f t="shared" si="0"/>
        <v>0</v>
      </c>
      <c r="H13" t="s">
        <v>163</v>
      </c>
      <c r="I13" s="59">
        <v>4300</v>
      </c>
      <c r="J13" s="59">
        <v>25.25</v>
      </c>
      <c r="K13" s="59">
        <v>1.25</v>
      </c>
      <c r="L13" s="59">
        <f t="shared" si="1"/>
        <v>0</v>
      </c>
    </row>
    <row r="14" spans="1:12" x14ac:dyDescent="0.2">
      <c r="A14" t="s">
        <v>163</v>
      </c>
      <c r="B14" s="59">
        <v>5200</v>
      </c>
      <c r="C14" s="59">
        <v>36.5</v>
      </c>
      <c r="D14" s="59">
        <v>1.5</v>
      </c>
      <c r="E14" s="59">
        <f t="shared" si="0"/>
        <v>0</v>
      </c>
      <c r="H14" t="s">
        <v>163</v>
      </c>
      <c r="I14" s="59">
        <v>5200</v>
      </c>
      <c r="J14" s="59">
        <v>36.5</v>
      </c>
      <c r="K14" s="59">
        <v>1.5</v>
      </c>
      <c r="L14" s="59">
        <f t="shared" si="1"/>
        <v>0</v>
      </c>
    </row>
    <row r="15" spans="1:12" x14ac:dyDescent="0.2">
      <c r="A15" t="s">
        <v>163</v>
      </c>
      <c r="B15" s="59">
        <v>6200</v>
      </c>
      <c r="C15" s="59">
        <v>51.5</v>
      </c>
      <c r="D15" s="59">
        <v>1.75</v>
      </c>
      <c r="E15" s="59">
        <f t="shared" si="0"/>
        <v>0</v>
      </c>
      <c r="H15" t="s">
        <v>163</v>
      </c>
      <c r="I15" s="59">
        <v>6200</v>
      </c>
      <c r="J15" s="59">
        <v>51.5</v>
      </c>
      <c r="K15" s="59">
        <v>1.75</v>
      </c>
      <c r="L15" s="59">
        <f t="shared" si="1"/>
        <v>0</v>
      </c>
    </row>
    <row r="16" spans="1:12" x14ac:dyDescent="0.2">
      <c r="A16" t="s">
        <v>163</v>
      </c>
      <c r="B16" s="59">
        <v>7300</v>
      </c>
      <c r="C16" s="59">
        <v>70.75</v>
      </c>
      <c r="D16" s="59">
        <v>2</v>
      </c>
      <c r="E16" s="59">
        <f t="shared" si="0"/>
        <v>0</v>
      </c>
      <c r="H16" t="s">
        <v>163</v>
      </c>
      <c r="I16" s="59">
        <v>7300</v>
      </c>
      <c r="J16" s="59">
        <v>70.75</v>
      </c>
      <c r="K16" s="59">
        <v>2</v>
      </c>
      <c r="L16" s="59">
        <f t="shared" si="1"/>
        <v>0</v>
      </c>
    </row>
    <row r="17" spans="1:12" x14ac:dyDescent="0.2">
      <c r="A17" t="s">
        <v>163</v>
      </c>
      <c r="B17" s="59">
        <v>8900</v>
      </c>
      <c r="C17" s="59">
        <v>102.75</v>
      </c>
      <c r="D17" s="59">
        <v>2.25</v>
      </c>
      <c r="E17" s="59">
        <f t="shared" si="0"/>
        <v>0</v>
      </c>
      <c r="H17" t="s">
        <v>163</v>
      </c>
      <c r="I17" s="59">
        <v>8900</v>
      </c>
      <c r="J17" s="59">
        <v>102.75</v>
      </c>
      <c r="K17" s="59">
        <v>2.25</v>
      </c>
      <c r="L17" s="59">
        <f t="shared" si="1"/>
        <v>0</v>
      </c>
    </row>
    <row r="18" spans="1:12" x14ac:dyDescent="0.2">
      <c r="A18" t="s">
        <v>163</v>
      </c>
      <c r="B18" s="59">
        <v>11000</v>
      </c>
      <c r="C18" s="59">
        <v>150</v>
      </c>
      <c r="D18" s="59">
        <v>2.5</v>
      </c>
      <c r="E18" s="59">
        <f t="shared" si="0"/>
        <v>0</v>
      </c>
      <c r="H18" t="s">
        <v>163</v>
      </c>
      <c r="I18" s="59">
        <v>11000</v>
      </c>
      <c r="J18" s="59">
        <v>150</v>
      </c>
      <c r="K18" s="59">
        <v>2.5</v>
      </c>
      <c r="L18" s="59">
        <f t="shared" si="1"/>
        <v>0</v>
      </c>
    </row>
    <row r="19" spans="1:12" x14ac:dyDescent="0.2">
      <c r="A19" t="s">
        <v>163</v>
      </c>
      <c r="B19" s="59">
        <v>14200</v>
      </c>
      <c r="C19" s="59">
        <v>230</v>
      </c>
      <c r="D19" s="59">
        <v>2.75</v>
      </c>
      <c r="E19" s="59">
        <f t="shared" si="0"/>
        <v>0</v>
      </c>
      <c r="H19" t="s">
        <v>163</v>
      </c>
      <c r="I19" s="59">
        <v>14200</v>
      </c>
      <c r="J19" s="59">
        <v>230</v>
      </c>
      <c r="K19" s="59">
        <v>2.75</v>
      </c>
      <c r="L19" s="59">
        <f t="shared" si="1"/>
        <v>0</v>
      </c>
    </row>
    <row r="20" spans="1:12" x14ac:dyDescent="0.2">
      <c r="A20" t="s">
        <v>163</v>
      </c>
      <c r="B20" s="59">
        <v>19500</v>
      </c>
      <c r="C20" s="59">
        <v>375.75</v>
      </c>
      <c r="D20" s="59">
        <v>3</v>
      </c>
      <c r="E20" s="59">
        <f t="shared" si="0"/>
        <v>0</v>
      </c>
      <c r="H20" t="s">
        <v>163</v>
      </c>
      <c r="I20" s="59">
        <v>19500</v>
      </c>
      <c r="J20" s="59">
        <v>375.75</v>
      </c>
      <c r="K20" s="59">
        <v>3</v>
      </c>
      <c r="L20" s="59">
        <f t="shared" si="1"/>
        <v>0</v>
      </c>
    </row>
    <row r="21" spans="1:12" x14ac:dyDescent="0.2">
      <c r="A21" t="s">
        <v>163</v>
      </c>
      <c r="B21" s="59">
        <v>26900</v>
      </c>
      <c r="C21" s="59">
        <v>597.75</v>
      </c>
      <c r="D21" s="59">
        <v>3.25</v>
      </c>
      <c r="E21" s="59">
        <f t="shared" si="0"/>
        <v>0</v>
      </c>
      <c r="H21" t="s">
        <v>163</v>
      </c>
      <c r="I21" s="59">
        <v>26900</v>
      </c>
      <c r="J21" s="59">
        <v>597.75</v>
      </c>
      <c r="K21" s="59">
        <v>3.25</v>
      </c>
      <c r="L21" s="59">
        <f t="shared" si="1"/>
        <v>0</v>
      </c>
    </row>
    <row r="22" spans="1:12" x14ac:dyDescent="0.2">
      <c r="A22" t="s">
        <v>163</v>
      </c>
      <c r="B22" s="59">
        <v>36400</v>
      </c>
      <c r="C22" s="59">
        <v>906.5</v>
      </c>
      <c r="D22" s="59">
        <v>3.5</v>
      </c>
      <c r="E22" s="59">
        <f t="shared" si="0"/>
        <v>0</v>
      </c>
      <c r="H22" t="s">
        <v>163</v>
      </c>
      <c r="I22" s="59">
        <v>36400</v>
      </c>
      <c r="J22" s="59">
        <v>906.5</v>
      </c>
      <c r="K22" s="59">
        <v>3.5</v>
      </c>
      <c r="L22" s="59">
        <f t="shared" si="1"/>
        <v>0</v>
      </c>
    </row>
    <row r="23" spans="1:12" x14ac:dyDescent="0.2">
      <c r="A23" t="s">
        <v>163</v>
      </c>
      <c r="B23" s="59">
        <v>46900</v>
      </c>
      <c r="C23" s="59">
        <v>1274</v>
      </c>
      <c r="D23" s="59">
        <v>3.65</v>
      </c>
      <c r="E23" s="59">
        <f t="shared" si="0"/>
        <v>0</v>
      </c>
      <c r="H23" t="s">
        <v>163</v>
      </c>
      <c r="I23" s="59">
        <v>46900</v>
      </c>
      <c r="J23" s="59">
        <v>1274</v>
      </c>
      <c r="K23" s="59">
        <v>3.65</v>
      </c>
      <c r="L23" s="59">
        <f t="shared" si="1"/>
        <v>0</v>
      </c>
    </row>
    <row r="24" spans="1:12" x14ac:dyDescent="0.2">
      <c r="A24" t="s">
        <v>163</v>
      </c>
      <c r="B24" s="59">
        <v>55300</v>
      </c>
      <c r="C24" s="59">
        <v>1580.6</v>
      </c>
      <c r="D24" s="59">
        <v>3.9</v>
      </c>
      <c r="E24" s="59">
        <f t="shared" si="0"/>
        <v>0</v>
      </c>
      <c r="H24" t="s">
        <v>163</v>
      </c>
      <c r="I24" s="59">
        <v>55300</v>
      </c>
      <c r="J24" s="59">
        <v>1580.6</v>
      </c>
      <c r="K24" s="59">
        <v>3.9</v>
      </c>
      <c r="L24" s="59">
        <f t="shared" si="1"/>
        <v>0</v>
      </c>
    </row>
    <row r="25" spans="1:12" x14ac:dyDescent="0.2">
      <c r="A25" t="s">
        <v>163</v>
      </c>
      <c r="B25" s="59">
        <v>60000</v>
      </c>
      <c r="C25" s="59">
        <v>1763.9</v>
      </c>
      <c r="D25" s="59">
        <v>3.9</v>
      </c>
      <c r="E25" s="59">
        <f t="shared" si="0"/>
        <v>0</v>
      </c>
      <c r="H25" t="s">
        <v>163</v>
      </c>
      <c r="I25" s="59">
        <v>60000</v>
      </c>
      <c r="J25" s="59">
        <v>1763.9</v>
      </c>
      <c r="K25" s="59">
        <v>3.9</v>
      </c>
      <c r="L25" s="59">
        <f t="shared" si="1"/>
        <v>0</v>
      </c>
    </row>
    <row r="26" spans="1:12" x14ac:dyDescent="0.2">
      <c r="A26" t="s">
        <v>163</v>
      </c>
      <c r="B26" s="59">
        <v>70000</v>
      </c>
      <c r="C26" s="59">
        <v>2153.9</v>
      </c>
      <c r="D26" s="59">
        <v>3.9</v>
      </c>
      <c r="E26" s="59">
        <f t="shared" si="0"/>
        <v>0</v>
      </c>
      <c r="H26" t="s">
        <v>163</v>
      </c>
      <c r="I26" s="59">
        <v>70000</v>
      </c>
      <c r="J26" s="59">
        <v>2153.9</v>
      </c>
      <c r="K26" s="59">
        <v>3.9</v>
      </c>
      <c r="L26" s="59">
        <f t="shared" si="1"/>
        <v>0</v>
      </c>
    </row>
    <row r="27" spans="1:12" x14ac:dyDescent="0.2">
      <c r="A27" t="s">
        <v>163</v>
      </c>
      <c r="B27" s="59">
        <v>80000</v>
      </c>
      <c r="C27" s="59">
        <v>2543.9</v>
      </c>
      <c r="D27" s="59">
        <v>3.9</v>
      </c>
      <c r="E27" s="59">
        <f t="shared" si="0"/>
        <v>0</v>
      </c>
      <c r="H27" t="s">
        <v>163</v>
      </c>
      <c r="I27" s="59">
        <v>80000</v>
      </c>
      <c r="J27" s="59">
        <v>2543.9</v>
      </c>
      <c r="K27" s="59">
        <v>3.9</v>
      </c>
      <c r="L27" s="59">
        <f t="shared" si="1"/>
        <v>0</v>
      </c>
    </row>
    <row r="28" spans="1:12" x14ac:dyDescent="0.2">
      <c r="A28" t="s">
        <v>163</v>
      </c>
      <c r="B28" s="59">
        <v>90000</v>
      </c>
      <c r="C28" s="59">
        <v>2933.9</v>
      </c>
      <c r="D28" s="59">
        <v>3.9</v>
      </c>
      <c r="E28" s="59">
        <f t="shared" si="0"/>
        <v>0</v>
      </c>
      <c r="H28" t="s">
        <v>163</v>
      </c>
      <c r="I28" s="59">
        <v>90000</v>
      </c>
      <c r="J28" s="59">
        <v>2933.9</v>
      </c>
      <c r="K28" s="59">
        <v>3.9</v>
      </c>
      <c r="L28" s="59">
        <f t="shared" si="1"/>
        <v>0</v>
      </c>
    </row>
    <row r="29" spans="1:12" x14ac:dyDescent="0.2">
      <c r="A29" t="s">
        <v>163</v>
      </c>
      <c r="B29" s="59">
        <v>100000</v>
      </c>
      <c r="C29" s="59">
        <v>3323.9</v>
      </c>
      <c r="D29" s="59">
        <v>3.9</v>
      </c>
      <c r="E29" s="59">
        <f t="shared" si="0"/>
        <v>0</v>
      </c>
      <c r="H29" t="s">
        <v>163</v>
      </c>
      <c r="I29" s="59">
        <v>100000</v>
      </c>
      <c r="J29" s="59">
        <v>3323.9</v>
      </c>
      <c r="K29" s="59">
        <v>3.9</v>
      </c>
      <c r="L29" s="59">
        <f t="shared" si="1"/>
        <v>0</v>
      </c>
    </row>
    <row r="30" spans="1:12" x14ac:dyDescent="0.2">
      <c r="A30" t="s">
        <v>163</v>
      </c>
      <c r="B30" s="59">
        <v>110000</v>
      </c>
      <c r="C30" s="59">
        <v>3713.9</v>
      </c>
      <c r="D30" s="59">
        <v>3.9</v>
      </c>
      <c r="E30" s="59">
        <f t="shared" si="0"/>
        <v>0</v>
      </c>
      <c r="H30" t="s">
        <v>163</v>
      </c>
      <c r="I30" s="59">
        <v>110000</v>
      </c>
      <c r="J30" s="59">
        <v>3713.9</v>
      </c>
      <c r="K30" s="59">
        <v>3.9</v>
      </c>
      <c r="L30" s="59">
        <f t="shared" si="1"/>
        <v>0</v>
      </c>
    </row>
    <row r="31" spans="1:12" x14ac:dyDescent="0.2">
      <c r="A31" t="s">
        <v>163</v>
      </c>
      <c r="B31" s="59">
        <v>120000</v>
      </c>
      <c r="C31" s="59">
        <v>4103.8999999999996</v>
      </c>
      <c r="D31" s="59">
        <v>3.9</v>
      </c>
      <c r="E31" s="59">
        <f t="shared" si="0"/>
        <v>0</v>
      </c>
      <c r="H31" t="s">
        <v>163</v>
      </c>
      <c r="I31" s="59">
        <v>120000</v>
      </c>
      <c r="J31" s="59">
        <v>4103.8999999999996</v>
      </c>
      <c r="K31" s="59">
        <v>3.9</v>
      </c>
      <c r="L31" s="59">
        <f t="shared" si="1"/>
        <v>0</v>
      </c>
    </row>
    <row r="32" spans="1:12" x14ac:dyDescent="0.2">
      <c r="A32" t="s">
        <v>163</v>
      </c>
      <c r="B32" s="59">
        <v>130000</v>
      </c>
      <c r="C32" s="59">
        <v>4493.8999999999996</v>
      </c>
      <c r="D32" s="59">
        <v>3.9</v>
      </c>
      <c r="E32" s="59">
        <f t="shared" si="0"/>
        <v>0</v>
      </c>
      <c r="H32" t="s">
        <v>163</v>
      </c>
      <c r="I32" s="59">
        <v>130000</v>
      </c>
      <c r="J32" s="59">
        <v>4493.8999999999996</v>
      </c>
      <c r="K32" s="59">
        <v>3.9</v>
      </c>
      <c r="L32" s="59">
        <f t="shared" si="1"/>
        <v>0</v>
      </c>
    </row>
    <row r="33" spans="1:12" x14ac:dyDescent="0.2">
      <c r="A33" t="s">
        <v>163</v>
      </c>
      <c r="B33" s="59">
        <v>140000</v>
      </c>
      <c r="C33" s="59">
        <v>4883.8999999999996</v>
      </c>
      <c r="D33" s="59">
        <v>3.9</v>
      </c>
      <c r="E33" s="59">
        <f t="shared" si="0"/>
        <v>0</v>
      </c>
      <c r="H33" t="s">
        <v>163</v>
      </c>
      <c r="I33" s="59">
        <v>140000</v>
      </c>
      <c r="J33" s="59">
        <v>4883.8999999999996</v>
      </c>
      <c r="K33" s="59">
        <v>3.9</v>
      </c>
      <c r="L33" s="59">
        <f t="shared" si="1"/>
        <v>0</v>
      </c>
    </row>
    <row r="34" spans="1:12" x14ac:dyDescent="0.2">
      <c r="A34" t="s">
        <v>163</v>
      </c>
      <c r="B34" s="59">
        <v>150000</v>
      </c>
      <c r="C34" s="59">
        <v>5273.9</v>
      </c>
      <c r="D34" s="59">
        <v>3.9</v>
      </c>
      <c r="E34" s="59">
        <f t="shared" si="0"/>
        <v>0</v>
      </c>
      <c r="H34" t="s">
        <v>163</v>
      </c>
      <c r="I34" s="59">
        <v>150000</v>
      </c>
      <c r="J34" s="59">
        <v>5273.9</v>
      </c>
      <c r="K34" s="59">
        <v>3.9</v>
      </c>
      <c r="L34" s="59">
        <f t="shared" si="1"/>
        <v>0</v>
      </c>
    </row>
    <row r="35" spans="1:12" x14ac:dyDescent="0.2">
      <c r="A35" t="s">
        <v>163</v>
      </c>
      <c r="B35" s="59">
        <v>160000</v>
      </c>
      <c r="C35" s="59">
        <v>5663.9</v>
      </c>
      <c r="D35" s="59">
        <v>3.9</v>
      </c>
      <c r="E35" s="59">
        <f t="shared" si="0"/>
        <v>0</v>
      </c>
      <c r="H35" t="s">
        <v>163</v>
      </c>
      <c r="I35" s="59">
        <v>160000</v>
      </c>
      <c r="J35" s="59">
        <v>5663.9</v>
      </c>
      <c r="K35" s="59">
        <v>3.9</v>
      </c>
      <c r="L35" s="59">
        <f t="shared" si="1"/>
        <v>0</v>
      </c>
    </row>
    <row r="36" spans="1:12" x14ac:dyDescent="0.2">
      <c r="A36" t="s">
        <v>163</v>
      </c>
      <c r="B36" s="59">
        <v>170000</v>
      </c>
      <c r="C36" s="59">
        <v>6053.9</v>
      </c>
      <c r="D36" s="59">
        <v>3.9</v>
      </c>
      <c r="E36" s="59">
        <f>IF(AND($B$44&gt;=$B36,$B$44&lt;$B37),$C36+$D36*(($B$44-$B36)/100),0)</f>
        <v>0</v>
      </c>
      <c r="H36" t="s">
        <v>163</v>
      </c>
      <c r="I36" s="59">
        <v>170000</v>
      </c>
      <c r="J36" s="59">
        <v>6053.9</v>
      </c>
      <c r="K36" s="59">
        <v>3.9</v>
      </c>
      <c r="L36" s="59">
        <f t="shared" si="1"/>
        <v>0</v>
      </c>
    </row>
    <row r="37" spans="1:12" x14ac:dyDescent="0.2">
      <c r="A37" t="s">
        <v>163</v>
      </c>
      <c r="B37" s="59">
        <v>180000</v>
      </c>
      <c r="C37" s="59">
        <v>6443.9</v>
      </c>
      <c r="D37" s="59">
        <v>3.9</v>
      </c>
      <c r="E37" s="59">
        <f t="shared" si="0"/>
        <v>0</v>
      </c>
      <c r="H37" t="s">
        <v>163</v>
      </c>
      <c r="I37" s="59">
        <v>180000</v>
      </c>
      <c r="J37" s="59">
        <v>6443.9</v>
      </c>
      <c r="K37" s="59">
        <v>3.9</v>
      </c>
      <c r="L37" s="59">
        <f t="shared" si="1"/>
        <v>0</v>
      </c>
    </row>
    <row r="38" spans="1:12" x14ac:dyDescent="0.2">
      <c r="A38" t="s">
        <v>163</v>
      </c>
      <c r="B38" s="59">
        <v>190000</v>
      </c>
      <c r="C38" s="59">
        <v>6833.9</v>
      </c>
      <c r="D38" s="59">
        <v>3.9</v>
      </c>
      <c r="E38" s="59">
        <f t="shared" si="0"/>
        <v>0</v>
      </c>
      <c r="H38" t="s">
        <v>163</v>
      </c>
      <c r="I38" s="59">
        <v>190000</v>
      </c>
      <c r="J38" s="59">
        <v>6833.9</v>
      </c>
      <c r="K38" s="59">
        <v>3.9</v>
      </c>
      <c r="L38" s="59">
        <f t="shared" si="1"/>
        <v>0</v>
      </c>
    </row>
    <row r="39" spans="1:12" x14ac:dyDescent="0.2">
      <c r="A39" t="s">
        <v>163</v>
      </c>
      <c r="B39" s="59">
        <v>200000</v>
      </c>
      <c r="C39" s="59">
        <v>7223.9</v>
      </c>
      <c r="D39" s="59">
        <v>3.9</v>
      </c>
      <c r="E39" s="59">
        <f t="shared" si="0"/>
        <v>0</v>
      </c>
      <c r="H39" t="s">
        <v>163</v>
      </c>
      <c r="I39" s="59">
        <v>200000</v>
      </c>
      <c r="J39" s="59">
        <v>7223.9</v>
      </c>
      <c r="K39" s="59">
        <v>3.9</v>
      </c>
      <c r="L39" s="59">
        <f>IF(AND(($I$44/1.9)&gt;=$I39,($I$44/1.9)&lt;$I40),$J39+$K39*((($I$44/1.9)-$I39)/100),0)</f>
        <v>0</v>
      </c>
    </row>
    <row r="40" spans="1:12" x14ac:dyDescent="0.2">
      <c r="A40" t="s">
        <v>163</v>
      </c>
      <c r="B40" s="59">
        <v>210000</v>
      </c>
      <c r="C40" s="59">
        <v>7613.9</v>
      </c>
      <c r="D40" s="59">
        <v>3.9</v>
      </c>
      <c r="E40" s="59">
        <f t="shared" si="0"/>
        <v>0</v>
      </c>
      <c r="H40" t="s">
        <v>163</v>
      </c>
      <c r="I40" s="59">
        <v>210000</v>
      </c>
      <c r="J40" s="59">
        <v>7613.9</v>
      </c>
      <c r="K40" s="59">
        <v>3.9</v>
      </c>
      <c r="L40" s="59">
        <f t="shared" si="1"/>
        <v>0</v>
      </c>
    </row>
    <row r="41" spans="1:12" x14ac:dyDescent="0.2">
      <c r="A41" t="s">
        <v>163</v>
      </c>
      <c r="B41" s="59">
        <v>220000</v>
      </c>
      <c r="C41" s="59">
        <v>8003.9</v>
      </c>
      <c r="D41" s="59">
        <v>3.9</v>
      </c>
      <c r="E41" s="59">
        <f t="shared" si="0"/>
        <v>0</v>
      </c>
      <c r="H41" t="s">
        <v>163</v>
      </c>
      <c r="I41" s="59">
        <v>220000</v>
      </c>
      <c r="J41" s="59">
        <v>8003.9</v>
      </c>
      <c r="K41" s="59">
        <v>3.9</v>
      </c>
      <c r="L41" s="59">
        <f t="shared" si="1"/>
        <v>0</v>
      </c>
    </row>
    <row r="42" spans="1:12" x14ac:dyDescent="0.2">
      <c r="A42" t="s">
        <v>163</v>
      </c>
      <c r="B42" s="59">
        <v>225800</v>
      </c>
      <c r="C42" s="59">
        <v>8230.1</v>
      </c>
      <c r="D42" s="59">
        <v>3.9</v>
      </c>
      <c r="E42" s="59">
        <f>IF($B$44&gt;=$B42,$C42+$D42*(($B$44-$B42)/100),0)</f>
        <v>8393.9</v>
      </c>
      <c r="H42" t="s">
        <v>163</v>
      </c>
      <c r="I42" s="59">
        <v>225800</v>
      </c>
      <c r="J42" s="59">
        <v>8230.1</v>
      </c>
      <c r="K42" s="59">
        <v>3.9</v>
      </c>
      <c r="L42" s="59">
        <f>IF((($I$44/1.9)&gt;=$I42),$J42+$K42*((($I$44/1.9)-$I42)/100),0)</f>
        <v>9687.0578947368431</v>
      </c>
    </row>
    <row r="44" spans="1:12" x14ac:dyDescent="0.2">
      <c r="A44" s="1" t="s">
        <v>183</v>
      </c>
      <c r="B44" s="59">
        <v>230000</v>
      </c>
      <c r="H44" s="1" t="s">
        <v>183</v>
      </c>
      <c r="I44" s="59">
        <v>500000</v>
      </c>
    </row>
    <row r="45" spans="1:12" x14ac:dyDescent="0.2">
      <c r="A45" s="1" t="s">
        <v>224</v>
      </c>
      <c r="B45" s="69">
        <f>SUM(E9:E42)</f>
        <v>8393.9</v>
      </c>
      <c r="H45" s="1" t="s">
        <v>224</v>
      </c>
      <c r="I45" s="69">
        <f>SUM(L9:L42)</f>
        <v>9687.0578947368431</v>
      </c>
    </row>
    <row r="50" spans="1:1" x14ac:dyDescent="0.2">
      <c r="A50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4" sqref="C4"/>
    </sheetView>
  </sheetViews>
  <sheetFormatPr baseColWidth="10" defaultRowHeight="15" x14ac:dyDescent="0.2"/>
  <cols>
    <col min="2" max="2" width="14.6640625" customWidth="1"/>
    <col min="4" max="4" width="31.6640625" customWidth="1"/>
  </cols>
  <sheetData>
    <row r="1" spans="1:4" s="1" customFormat="1" x14ac:dyDescent="0.2">
      <c r="A1" s="1" t="s">
        <v>46</v>
      </c>
      <c r="B1" s="1" t="s">
        <v>44</v>
      </c>
      <c r="C1" s="1" t="s">
        <v>45</v>
      </c>
      <c r="D1" s="1" t="s">
        <v>1</v>
      </c>
    </row>
    <row r="2" spans="1:4" x14ac:dyDescent="0.2">
      <c r="A2" s="9" t="s">
        <v>47</v>
      </c>
      <c r="D2" t="s">
        <v>48</v>
      </c>
    </row>
    <row r="3" spans="1:4" x14ac:dyDescent="0.2">
      <c r="A3" s="9" t="s">
        <v>135</v>
      </c>
      <c r="B3" s="50">
        <v>42703</v>
      </c>
      <c r="C3" t="s">
        <v>136</v>
      </c>
      <c r="D3" t="s">
        <v>137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2" workbookViewId="0">
      <selection activeCell="F29" sqref="F29"/>
    </sheetView>
  </sheetViews>
  <sheetFormatPr baseColWidth="10" defaultRowHeight="15" x14ac:dyDescent="0.2"/>
  <cols>
    <col min="1" max="1" width="10.83203125" style="53"/>
    <col min="2" max="2" width="4.6640625" style="53" customWidth="1"/>
    <col min="3" max="7" width="10.83203125" style="53"/>
  </cols>
  <sheetData>
    <row r="1" spans="1:7" s="1" customFormat="1" ht="30" x14ac:dyDescent="0.2">
      <c r="A1" s="51" t="s">
        <v>5</v>
      </c>
      <c r="B1" s="51"/>
      <c r="C1" s="51" t="s">
        <v>138</v>
      </c>
      <c r="D1" s="52" t="s">
        <v>139</v>
      </c>
      <c r="E1" s="51" t="s">
        <v>142</v>
      </c>
      <c r="F1" s="51" t="s">
        <v>143</v>
      </c>
      <c r="G1" s="51"/>
    </row>
    <row r="2" spans="1:7" x14ac:dyDescent="0.2">
      <c r="A2" s="53">
        <v>1950</v>
      </c>
      <c r="C2" s="53" t="s">
        <v>15</v>
      </c>
      <c r="D2" s="53">
        <f>IF('Delta-Rechner'!$D$18="AG",1,0)</f>
        <v>1</v>
      </c>
      <c r="E2" s="55">
        <f>'AG (F)'!G$28*D2</f>
        <v>5.5883333333333333E-2</v>
      </c>
      <c r="F2" s="55">
        <f>'AG (F)'!G$57*D2</f>
        <v>4.7829787234042555E-2</v>
      </c>
    </row>
    <row r="3" spans="1:7" x14ac:dyDescent="0.2">
      <c r="A3" s="53">
        <v>1951</v>
      </c>
      <c r="C3" s="53" t="s">
        <v>16</v>
      </c>
      <c r="D3" s="53">
        <f>IF('Delta-Rechner'!$D$18="AR",1,0)</f>
        <v>0</v>
      </c>
      <c r="E3" s="55"/>
      <c r="F3" s="55"/>
    </row>
    <row r="4" spans="1:7" x14ac:dyDescent="0.2">
      <c r="A4" s="53">
        <v>1952</v>
      </c>
      <c r="C4" s="53" t="s">
        <v>17</v>
      </c>
      <c r="D4" s="53">
        <f>IF('Delta-Rechner'!$D$18="AI",1,0)</f>
        <v>0</v>
      </c>
      <c r="E4" s="55"/>
      <c r="F4" s="55"/>
    </row>
    <row r="5" spans="1:7" x14ac:dyDescent="0.2">
      <c r="A5" s="53">
        <v>1953</v>
      </c>
      <c r="C5" s="53" t="s">
        <v>18</v>
      </c>
      <c r="D5" s="53">
        <f>IF('Delta-Rechner'!$D$18="BL",1,0)</f>
        <v>0</v>
      </c>
      <c r="E5" s="55"/>
      <c r="F5" s="55"/>
    </row>
    <row r="6" spans="1:7" x14ac:dyDescent="0.2">
      <c r="A6" s="53">
        <v>1954</v>
      </c>
      <c r="C6" s="53" t="s">
        <v>19</v>
      </c>
      <c r="D6" s="53">
        <f>IF('Delta-Rechner'!$D$18="BS",1,0)</f>
        <v>0</v>
      </c>
      <c r="E6" s="55"/>
      <c r="F6" s="55"/>
    </row>
    <row r="7" spans="1:7" x14ac:dyDescent="0.2">
      <c r="A7" s="53">
        <v>1955</v>
      </c>
      <c r="C7" s="53" t="s">
        <v>20</v>
      </c>
      <c r="D7" s="53">
        <f>IF('Delta-Rechner'!$D$18="BE",1,0)</f>
        <v>0</v>
      </c>
      <c r="E7" s="55">
        <f>'AG (F)'!G$28*D7</f>
        <v>0</v>
      </c>
      <c r="F7" s="55">
        <f>'AG (F)'!G$57*D7</f>
        <v>0</v>
      </c>
    </row>
    <row r="8" spans="1:7" x14ac:dyDescent="0.2">
      <c r="A8" s="53">
        <v>1956</v>
      </c>
      <c r="C8" s="53" t="s">
        <v>21</v>
      </c>
      <c r="D8" s="53">
        <f>IF('Delta-Rechner'!$D$18="FR",1,0)</f>
        <v>0</v>
      </c>
      <c r="E8" s="55"/>
      <c r="F8" s="55"/>
    </row>
    <row r="9" spans="1:7" x14ac:dyDescent="0.2">
      <c r="A9" s="53">
        <v>1957</v>
      </c>
      <c r="C9" s="53" t="s">
        <v>22</v>
      </c>
      <c r="D9" s="53">
        <f>IF('Delta-Rechner'!$D$18="GE",1,0)</f>
        <v>0</v>
      </c>
      <c r="E9" s="55"/>
      <c r="F9" s="55"/>
    </row>
    <row r="10" spans="1:7" x14ac:dyDescent="0.2">
      <c r="A10" s="53">
        <v>1958</v>
      </c>
      <c r="C10" s="53" t="s">
        <v>23</v>
      </c>
      <c r="D10" s="53">
        <f>IF('Delta-Rechner'!$D$18="GL",1,0)</f>
        <v>0</v>
      </c>
      <c r="E10" s="55"/>
      <c r="F10" s="55"/>
    </row>
    <row r="11" spans="1:7" x14ac:dyDescent="0.2">
      <c r="A11" s="53">
        <v>1959</v>
      </c>
      <c r="C11" s="53" t="s">
        <v>24</v>
      </c>
      <c r="D11" s="53">
        <f>IF('Delta-Rechner'!$D$18="GR",1,0)</f>
        <v>0</v>
      </c>
      <c r="E11" s="55"/>
      <c r="F11" s="55"/>
    </row>
    <row r="12" spans="1:7" x14ac:dyDescent="0.2">
      <c r="A12" s="53">
        <v>1960</v>
      </c>
      <c r="C12" s="53" t="s">
        <v>25</v>
      </c>
      <c r="D12" s="53">
        <f>IF('Delta-Rechner'!$D$18="JU",1,0)</f>
        <v>0</v>
      </c>
      <c r="E12" s="55"/>
      <c r="F12" s="55"/>
    </row>
    <row r="13" spans="1:7" x14ac:dyDescent="0.2">
      <c r="A13" s="53">
        <v>1961</v>
      </c>
      <c r="C13" s="53" t="s">
        <v>26</v>
      </c>
      <c r="D13" s="53">
        <f>IF('Delta-Rechner'!$D$18="LU",1,0)</f>
        <v>0</v>
      </c>
      <c r="E13" s="55"/>
      <c r="F13" s="55"/>
    </row>
    <row r="14" spans="1:7" x14ac:dyDescent="0.2">
      <c r="A14" s="53">
        <v>1962</v>
      </c>
      <c r="C14" s="53" t="s">
        <v>27</v>
      </c>
      <c r="D14" s="53">
        <f>IF('Delta-Rechner'!$D$18="NE",1,0)</f>
        <v>0</v>
      </c>
      <c r="E14" s="55"/>
      <c r="F14" s="55"/>
    </row>
    <row r="15" spans="1:7" x14ac:dyDescent="0.2">
      <c r="A15" s="53">
        <v>1963</v>
      </c>
      <c r="C15" s="53" t="s">
        <v>28</v>
      </c>
      <c r="D15" s="53">
        <f>IF('Delta-Rechner'!$D$18="NW",1,0)</f>
        <v>0</v>
      </c>
      <c r="E15" s="55"/>
      <c r="F15" s="55"/>
    </row>
    <row r="16" spans="1:7" x14ac:dyDescent="0.2">
      <c r="A16" s="53">
        <v>1964</v>
      </c>
      <c r="C16" s="53" t="s">
        <v>29</v>
      </c>
      <c r="D16" s="53">
        <f>IF('Delta-Rechner'!$D$18="OW",1,0)</f>
        <v>0</v>
      </c>
      <c r="E16" s="55"/>
      <c r="F16" s="55"/>
    </row>
    <row r="17" spans="1:6" x14ac:dyDescent="0.2">
      <c r="A17" s="53">
        <v>1965</v>
      </c>
      <c r="C17" s="53" t="s">
        <v>30</v>
      </c>
      <c r="D17" s="53">
        <f>IF('Delta-Rechner'!$D$18="SG",1,0)</f>
        <v>0</v>
      </c>
      <c r="E17" s="55"/>
      <c r="F17" s="55"/>
    </row>
    <row r="18" spans="1:6" x14ac:dyDescent="0.2">
      <c r="A18" s="53">
        <v>1966</v>
      </c>
      <c r="C18" s="53" t="s">
        <v>31</v>
      </c>
      <c r="D18" s="53">
        <f>IF('Delta-Rechner'!$D$18="SH",1,0)</f>
        <v>0</v>
      </c>
      <c r="E18" s="55"/>
      <c r="F18" s="55"/>
    </row>
    <row r="19" spans="1:6" x14ac:dyDescent="0.2">
      <c r="A19" s="53">
        <v>1967</v>
      </c>
      <c r="C19" s="53" t="s">
        <v>32</v>
      </c>
      <c r="D19" s="53">
        <f>IF('Delta-Rechner'!$D$18="SZ",1,0)</f>
        <v>0</v>
      </c>
      <c r="E19" s="55"/>
      <c r="F19" s="55"/>
    </row>
    <row r="20" spans="1:6" x14ac:dyDescent="0.2">
      <c r="A20" s="53">
        <v>1968</v>
      </c>
      <c r="C20" s="53" t="s">
        <v>33</v>
      </c>
      <c r="D20" s="53">
        <f>IF('Delta-Rechner'!$D$18="SO",1,0)</f>
        <v>0</v>
      </c>
      <c r="E20" s="55"/>
      <c r="F20" s="55"/>
    </row>
    <row r="21" spans="1:6" x14ac:dyDescent="0.2">
      <c r="A21" s="53">
        <v>1969</v>
      </c>
      <c r="C21" s="53" t="s">
        <v>34</v>
      </c>
      <c r="D21" s="53">
        <f>IF('Delta-Rechner'!$D$18="TI",1,0)</f>
        <v>0</v>
      </c>
      <c r="E21" s="55"/>
      <c r="F21" s="55"/>
    </row>
    <row r="22" spans="1:6" x14ac:dyDescent="0.2">
      <c r="A22" s="53">
        <v>1970</v>
      </c>
      <c r="C22" s="53" t="s">
        <v>35</v>
      </c>
      <c r="D22" s="53">
        <f>IF('Delta-Rechner'!$D$18="TG",1,0)</f>
        <v>0</v>
      </c>
      <c r="E22" s="55"/>
      <c r="F22" s="55"/>
    </row>
    <row r="23" spans="1:6" x14ac:dyDescent="0.2">
      <c r="A23" s="53">
        <v>1971</v>
      </c>
      <c r="C23" s="53" t="s">
        <v>36</v>
      </c>
      <c r="D23" s="53">
        <f>IF('Delta-Rechner'!$D$18="URG",1,0)</f>
        <v>0</v>
      </c>
      <c r="E23" s="55"/>
      <c r="F23" s="55"/>
    </row>
    <row r="24" spans="1:6" x14ac:dyDescent="0.2">
      <c r="A24" s="53">
        <v>1972</v>
      </c>
      <c r="C24" s="53" t="s">
        <v>37</v>
      </c>
      <c r="D24" s="53">
        <f>IF('Delta-Rechner'!$D$18="VD",1,0)</f>
        <v>0</v>
      </c>
      <c r="E24" s="55"/>
      <c r="F24" s="55"/>
    </row>
    <row r="25" spans="1:6" x14ac:dyDescent="0.2">
      <c r="A25" s="53">
        <v>1973</v>
      </c>
      <c r="C25" s="53" t="s">
        <v>38</v>
      </c>
      <c r="D25" s="53">
        <f>IF('Delta-Rechner'!$D$18="VS",1,0)</f>
        <v>0</v>
      </c>
      <c r="E25" s="55"/>
      <c r="F25" s="55"/>
    </row>
    <row r="26" spans="1:6" x14ac:dyDescent="0.2">
      <c r="A26" s="53">
        <v>1974</v>
      </c>
      <c r="C26" s="53" t="s">
        <v>39</v>
      </c>
      <c r="D26" s="53">
        <f>IF('Delta-Rechner'!$D$18="ZH",1,0)</f>
        <v>0</v>
      </c>
      <c r="E26" s="55"/>
      <c r="F26" s="55"/>
    </row>
    <row r="27" spans="1:6" ht="16" thickBot="1" x14ac:dyDescent="0.25">
      <c r="A27" s="53">
        <v>1975</v>
      </c>
      <c r="C27" s="53" t="s">
        <v>40</v>
      </c>
      <c r="D27" s="53">
        <f>IF('Delta-Rechner'!$D$18="ZG",1,0)</f>
        <v>0</v>
      </c>
      <c r="E27" s="55"/>
      <c r="F27" s="55"/>
    </row>
    <row r="28" spans="1:6" ht="16" thickBot="1" x14ac:dyDescent="0.25">
      <c r="A28" s="53">
        <v>1976</v>
      </c>
      <c r="D28" s="53" t="s">
        <v>147</v>
      </c>
      <c r="E28" s="56">
        <f>SUM(E2:E27)</f>
        <v>5.5883333333333333E-2</v>
      </c>
      <c r="F28" s="56">
        <f>SUM(F2:F27)</f>
        <v>4.7829787234042555E-2</v>
      </c>
    </row>
    <row r="29" spans="1:6" x14ac:dyDescent="0.2">
      <c r="A29" s="53">
        <v>1977</v>
      </c>
    </row>
    <row r="30" spans="1:6" x14ac:dyDescent="0.2">
      <c r="A30" s="53">
        <v>1978</v>
      </c>
    </row>
    <row r="31" spans="1:6" x14ac:dyDescent="0.2">
      <c r="A31" s="53">
        <v>1979</v>
      </c>
    </row>
    <row r="32" spans="1:6" x14ac:dyDescent="0.2">
      <c r="A32" s="53">
        <v>1980</v>
      </c>
    </row>
    <row r="33" spans="1:1" x14ac:dyDescent="0.2">
      <c r="A33" s="53">
        <v>1981</v>
      </c>
    </row>
    <row r="34" spans="1:1" x14ac:dyDescent="0.2">
      <c r="A34" s="53">
        <v>1982</v>
      </c>
    </row>
    <row r="35" spans="1:1" x14ac:dyDescent="0.2">
      <c r="A35" s="53">
        <v>1983</v>
      </c>
    </row>
    <row r="36" spans="1:1" x14ac:dyDescent="0.2">
      <c r="A36" s="53">
        <v>1984</v>
      </c>
    </row>
    <row r="37" spans="1:1" x14ac:dyDescent="0.2">
      <c r="A37" s="53">
        <v>1985</v>
      </c>
    </row>
    <row r="38" spans="1:1" x14ac:dyDescent="0.2">
      <c r="A38" s="53">
        <v>1986</v>
      </c>
    </row>
    <row r="39" spans="1:1" x14ac:dyDescent="0.2">
      <c r="A39" s="53">
        <v>1987</v>
      </c>
    </row>
    <row r="40" spans="1:1" x14ac:dyDescent="0.2">
      <c r="A40" s="53">
        <v>1988</v>
      </c>
    </row>
    <row r="41" spans="1:1" x14ac:dyDescent="0.2">
      <c r="A41" s="53">
        <v>1989</v>
      </c>
    </row>
    <row r="42" spans="1:1" x14ac:dyDescent="0.2">
      <c r="A42" s="53">
        <v>1990</v>
      </c>
    </row>
    <row r="43" spans="1:1" x14ac:dyDescent="0.2">
      <c r="A43" s="53">
        <v>1991</v>
      </c>
    </row>
    <row r="44" spans="1:1" x14ac:dyDescent="0.2">
      <c r="A44" s="53">
        <v>1992</v>
      </c>
    </row>
    <row r="45" spans="1:1" x14ac:dyDescent="0.2">
      <c r="A45" s="53">
        <v>1993</v>
      </c>
    </row>
    <row r="46" spans="1:1" x14ac:dyDescent="0.2">
      <c r="A46" s="53">
        <v>1994</v>
      </c>
    </row>
    <row r="47" spans="1:1" x14ac:dyDescent="0.2">
      <c r="A47" s="53">
        <v>1995</v>
      </c>
    </row>
    <row r="48" spans="1:1" x14ac:dyDescent="0.2">
      <c r="A48" s="53">
        <v>1996</v>
      </c>
    </row>
    <row r="49" spans="1:1" x14ac:dyDescent="0.2">
      <c r="A49" s="53">
        <v>1997</v>
      </c>
    </row>
    <row r="50" spans="1:1" x14ac:dyDescent="0.2">
      <c r="A50" s="53">
        <v>1998</v>
      </c>
    </row>
    <row r="51" spans="1:1" x14ac:dyDescent="0.2">
      <c r="A51" s="53">
        <v>1999</v>
      </c>
    </row>
    <row r="52" spans="1:1" x14ac:dyDescent="0.2">
      <c r="A52" s="53">
        <v>2000</v>
      </c>
    </row>
    <row r="53" spans="1:1" x14ac:dyDescent="0.2">
      <c r="A53" s="53">
        <v>2001</v>
      </c>
    </row>
    <row r="54" spans="1:1" x14ac:dyDescent="0.2">
      <c r="A54" s="53">
        <v>2002</v>
      </c>
    </row>
    <row r="55" spans="1:1" x14ac:dyDescent="0.2">
      <c r="A55" s="53">
        <v>2003</v>
      </c>
    </row>
    <row r="56" spans="1:1" x14ac:dyDescent="0.2">
      <c r="A56" s="53">
        <v>2004</v>
      </c>
    </row>
    <row r="57" spans="1:1" x14ac:dyDescent="0.2">
      <c r="A57" s="53">
        <v>2005</v>
      </c>
    </row>
    <row r="58" spans="1:1" x14ac:dyDescent="0.2">
      <c r="A58" s="53">
        <v>2006</v>
      </c>
    </row>
    <row r="59" spans="1:1" x14ac:dyDescent="0.2">
      <c r="A59" s="53">
        <v>2007</v>
      </c>
    </row>
    <row r="60" spans="1:1" x14ac:dyDescent="0.2">
      <c r="A60" s="53">
        <v>2008</v>
      </c>
    </row>
    <row r="61" spans="1:1" x14ac:dyDescent="0.2">
      <c r="A61" s="53">
        <v>2009</v>
      </c>
    </row>
    <row r="62" spans="1:1" x14ac:dyDescent="0.2">
      <c r="A62" s="53">
        <v>2010</v>
      </c>
    </row>
    <row r="63" spans="1:1" x14ac:dyDescent="0.2">
      <c r="A63" s="53">
        <v>2011</v>
      </c>
    </row>
    <row r="64" spans="1:1" x14ac:dyDescent="0.2">
      <c r="A64" s="53">
        <v>2012</v>
      </c>
    </row>
    <row r="65" spans="1:1" x14ac:dyDescent="0.2">
      <c r="A65" s="53">
        <v>2013</v>
      </c>
    </row>
    <row r="66" spans="1:1" x14ac:dyDescent="0.2">
      <c r="A66" s="53">
        <v>2014</v>
      </c>
    </row>
    <row r="67" spans="1:1" x14ac:dyDescent="0.2">
      <c r="A67" s="53">
        <v>2015</v>
      </c>
    </row>
    <row r="68" spans="1:1" x14ac:dyDescent="0.2">
      <c r="A68" s="53">
        <v>2016</v>
      </c>
    </row>
    <row r="69" spans="1:1" x14ac:dyDescent="0.2">
      <c r="A69" s="53">
        <v>2017</v>
      </c>
    </row>
    <row r="70" spans="1:1" x14ac:dyDescent="0.2">
      <c r="A70" s="53">
        <v>2018</v>
      </c>
    </row>
    <row r="71" spans="1:1" x14ac:dyDescent="0.2">
      <c r="A71" s="53">
        <v>2019</v>
      </c>
    </row>
    <row r="72" spans="1:1" x14ac:dyDescent="0.2">
      <c r="A72" s="53">
        <v>2020</v>
      </c>
    </row>
    <row r="73" spans="1:1" x14ac:dyDescent="0.2">
      <c r="A73" s="53">
        <v>2021</v>
      </c>
    </row>
    <row r="74" spans="1:1" x14ac:dyDescent="0.2">
      <c r="A74" s="53">
        <v>2022</v>
      </c>
    </row>
    <row r="75" spans="1:1" x14ac:dyDescent="0.2">
      <c r="A75" s="53">
        <v>2023</v>
      </c>
    </row>
    <row r="76" spans="1:1" x14ac:dyDescent="0.2">
      <c r="A76" s="53">
        <v>2024</v>
      </c>
    </row>
    <row r="77" spans="1:1" x14ac:dyDescent="0.2">
      <c r="A77" s="53">
        <v>2025</v>
      </c>
    </row>
    <row r="78" spans="1:1" x14ac:dyDescent="0.2">
      <c r="A78" s="53">
        <v>2026</v>
      </c>
    </row>
    <row r="79" spans="1:1" x14ac:dyDescent="0.2">
      <c r="A79" s="53">
        <v>2027</v>
      </c>
    </row>
    <row r="80" spans="1:1" x14ac:dyDescent="0.2">
      <c r="A80" s="53">
        <v>2028</v>
      </c>
    </row>
    <row r="81" spans="1:1" x14ac:dyDescent="0.2">
      <c r="A81" s="53">
        <v>2029</v>
      </c>
    </row>
    <row r="82" spans="1:1" x14ac:dyDescent="0.2">
      <c r="A82" s="53">
        <v>2030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30" sqref="A30"/>
    </sheetView>
  </sheetViews>
  <sheetFormatPr baseColWidth="10" defaultRowHeight="15" x14ac:dyDescent="0.2"/>
  <cols>
    <col min="1" max="1" width="48.1640625" style="18" customWidth="1"/>
    <col min="2" max="3" width="12.5" style="18" customWidth="1"/>
    <col min="4" max="4" width="10.83203125" style="18" customWidth="1"/>
    <col min="5" max="6" width="11.6640625" style="18" customWidth="1"/>
    <col min="7" max="7" width="14.6640625" style="18" customWidth="1"/>
    <col min="8" max="9" width="24.5" style="18" customWidth="1"/>
    <col min="10" max="16384" width="10.83203125" style="18"/>
  </cols>
  <sheetData>
    <row r="1" spans="1:7" ht="21.75" customHeight="1" x14ac:dyDescent="0.2">
      <c r="A1" s="75" t="s">
        <v>82</v>
      </c>
      <c r="B1" s="75"/>
      <c r="C1" s="75"/>
      <c r="D1" s="75"/>
      <c r="E1" s="75"/>
      <c r="F1" s="75"/>
      <c r="G1" s="75"/>
    </row>
    <row r="4" spans="1:7" ht="15.75" customHeight="1" x14ac:dyDescent="0.2">
      <c r="A4" s="19" t="s">
        <v>56</v>
      </c>
      <c r="B4" s="23" t="s">
        <v>73</v>
      </c>
      <c r="C4" s="23" t="s">
        <v>74</v>
      </c>
    </row>
    <row r="5" spans="1:7" ht="15.75" customHeight="1" thickBot="1" x14ac:dyDescent="0.25">
      <c r="B5" s="20">
        <v>1</v>
      </c>
      <c r="C5" s="20">
        <v>0.5</v>
      </c>
    </row>
    <row r="6" spans="1:7" ht="16" thickBot="1" x14ac:dyDescent="0.25">
      <c r="A6" s="18" t="s">
        <v>71</v>
      </c>
      <c r="B6" s="35">
        <f>'Delta-Rechner'!D26</f>
        <v>120000</v>
      </c>
      <c r="C6" s="34">
        <f>B6/2</f>
        <v>60000</v>
      </c>
    </row>
    <row r="7" spans="1:7" ht="30" x14ac:dyDescent="0.2">
      <c r="A7" s="21" t="s">
        <v>62</v>
      </c>
      <c r="B7" s="22" t="s">
        <v>69</v>
      </c>
      <c r="C7" s="22" t="s">
        <v>68</v>
      </c>
      <c r="D7" s="22" t="s">
        <v>57</v>
      </c>
      <c r="E7" s="22" t="s">
        <v>58</v>
      </c>
      <c r="F7" s="22" t="s">
        <v>59</v>
      </c>
      <c r="G7" s="22" t="s">
        <v>70</v>
      </c>
    </row>
    <row r="8" spans="1:7" x14ac:dyDescent="0.2">
      <c r="B8" s="18">
        <v>0</v>
      </c>
      <c r="C8" s="23">
        <v>0</v>
      </c>
      <c r="D8" s="23"/>
    </row>
    <row r="9" spans="1:7" x14ac:dyDescent="0.2">
      <c r="A9" s="18" t="s">
        <v>227</v>
      </c>
      <c r="B9" s="18">
        <v>4000</v>
      </c>
      <c r="C9" s="18">
        <f>SUM(B9)</f>
        <v>4000</v>
      </c>
      <c r="D9" s="24">
        <v>0</v>
      </c>
      <c r="E9" s="25">
        <f t="shared" ref="E9:E23" si="0">IF(AND(C8&lt;$B$6,$B$6&lt;=C9),($B$6-C8)*D9,IF($B$6&gt;C9,B9*D9,0))</f>
        <v>0</v>
      </c>
      <c r="F9" s="25">
        <f>IF(AND(C8&lt;$C$6,$C$6&lt;=C9),($C$6-C8)*D9,IF($C$6&gt;C9,B9*D9,0))*2</f>
        <v>0</v>
      </c>
    </row>
    <row r="10" spans="1:7" x14ac:dyDescent="0.2">
      <c r="A10" s="18" t="s">
        <v>64</v>
      </c>
      <c r="B10" s="18">
        <v>3600</v>
      </c>
      <c r="C10" s="18">
        <f>SUM(B9:B10)</f>
        <v>7600</v>
      </c>
      <c r="D10" s="24">
        <v>0.01</v>
      </c>
      <c r="E10" s="25">
        <f t="shared" si="0"/>
        <v>36</v>
      </c>
      <c r="F10" s="25">
        <f>IF(AND(C9&lt;$C$6,$C$6&lt;=C10),($C$6-C9)*D10,IF($C$6&gt;C10,B10*D10,0))*2</f>
        <v>72</v>
      </c>
    </row>
    <row r="11" spans="1:7" x14ac:dyDescent="0.2">
      <c r="A11" s="18" t="s">
        <v>65</v>
      </c>
      <c r="B11" s="18">
        <v>3600</v>
      </c>
      <c r="C11" s="18">
        <f>SUM(B9:B11)</f>
        <v>11200</v>
      </c>
      <c r="D11" s="24">
        <v>0.02</v>
      </c>
      <c r="E11" s="25">
        <f t="shared" si="0"/>
        <v>72</v>
      </c>
      <c r="F11" s="25">
        <f t="shared" ref="F11:F24" si="1">IF(AND(C10&lt;$C$6,$C$6&lt;=C11),($C$6-C10)*D11,IF($C$6&gt;C11,B11*D11,0))*2</f>
        <v>144</v>
      </c>
    </row>
    <row r="12" spans="1:7" x14ac:dyDescent="0.2">
      <c r="A12" s="18" t="s">
        <v>66</v>
      </c>
      <c r="B12" s="18">
        <v>4000</v>
      </c>
      <c r="C12" s="18">
        <f>SUM(B9:B12)</f>
        <v>15200</v>
      </c>
      <c r="D12" s="24">
        <v>0.03</v>
      </c>
      <c r="E12" s="25">
        <f t="shared" si="0"/>
        <v>120</v>
      </c>
      <c r="F12" s="25">
        <f t="shared" si="1"/>
        <v>240</v>
      </c>
    </row>
    <row r="13" spans="1:7" x14ac:dyDescent="0.2">
      <c r="A13" s="18" t="s">
        <v>67</v>
      </c>
      <c r="B13" s="18">
        <v>4000</v>
      </c>
      <c r="C13" s="18">
        <f>SUM(B9:B13)</f>
        <v>19200</v>
      </c>
      <c r="D13" s="24">
        <v>0.04</v>
      </c>
      <c r="E13" s="25">
        <f t="shared" si="0"/>
        <v>160</v>
      </c>
      <c r="F13" s="25">
        <f t="shared" si="1"/>
        <v>320</v>
      </c>
    </row>
    <row r="14" spans="1:7" x14ac:dyDescent="0.2">
      <c r="B14" s="18">
        <v>4800</v>
      </c>
      <c r="C14" s="18">
        <f>SUM(B9:B14)</f>
        <v>24000</v>
      </c>
      <c r="D14" s="24">
        <v>0.05</v>
      </c>
      <c r="E14" s="25">
        <f t="shared" si="0"/>
        <v>240</v>
      </c>
      <c r="F14" s="25">
        <f t="shared" si="1"/>
        <v>480</v>
      </c>
    </row>
    <row r="15" spans="1:7" x14ac:dyDescent="0.2">
      <c r="B15" s="18">
        <v>7000</v>
      </c>
      <c r="C15" s="18">
        <f>SUM(B9:B15)</f>
        <v>31000</v>
      </c>
      <c r="D15" s="24">
        <v>0.06</v>
      </c>
      <c r="E15" s="25">
        <f>IF(AND(C14&lt;$B$6,$B$6&lt;=C15),($B$6-C14)*D15,IF($B$6&gt;C15,B15*D15,0))</f>
        <v>420</v>
      </c>
      <c r="F15" s="25">
        <f t="shared" si="1"/>
        <v>840</v>
      </c>
    </row>
    <row r="16" spans="1:7" x14ac:dyDescent="0.2">
      <c r="B16" s="18">
        <v>8000</v>
      </c>
      <c r="C16" s="18">
        <f>SUM(B9:B16)</f>
        <v>39000</v>
      </c>
      <c r="D16" s="24">
        <v>7.0000000000000007E-2</v>
      </c>
      <c r="E16" s="25">
        <f t="shared" si="0"/>
        <v>560</v>
      </c>
      <c r="F16" s="25">
        <f t="shared" si="1"/>
        <v>1120</v>
      </c>
    </row>
    <row r="17" spans="1:7" x14ac:dyDescent="0.2">
      <c r="B17" s="18">
        <v>9000</v>
      </c>
      <c r="C17" s="18">
        <f>SUM(B9:B17)</f>
        <v>48000</v>
      </c>
      <c r="D17" s="24">
        <v>0.08</v>
      </c>
      <c r="E17" s="25">
        <f t="shared" si="0"/>
        <v>720</v>
      </c>
      <c r="F17" s="25">
        <f t="shared" si="1"/>
        <v>1440</v>
      </c>
    </row>
    <row r="18" spans="1:7" x14ac:dyDescent="0.2">
      <c r="B18" s="18">
        <v>11000</v>
      </c>
      <c r="C18" s="18">
        <f>SUM(B9:B18)</f>
        <v>59000</v>
      </c>
      <c r="D18" s="26">
        <v>8.5000000000000006E-2</v>
      </c>
      <c r="E18" s="25">
        <f t="shared" si="0"/>
        <v>935.00000000000011</v>
      </c>
      <c r="F18" s="25">
        <f t="shared" si="1"/>
        <v>1870.0000000000002</v>
      </c>
    </row>
    <row r="19" spans="1:7" x14ac:dyDescent="0.2">
      <c r="B19" s="18">
        <v>11000</v>
      </c>
      <c r="C19" s="18">
        <f>SUM(B9:B19)</f>
        <v>70000</v>
      </c>
      <c r="D19" s="24">
        <v>0.09</v>
      </c>
      <c r="E19" s="25">
        <f t="shared" si="0"/>
        <v>990</v>
      </c>
      <c r="F19" s="25">
        <f t="shared" si="1"/>
        <v>180</v>
      </c>
    </row>
    <row r="20" spans="1:7" x14ac:dyDescent="0.2">
      <c r="B20" s="18">
        <v>33000</v>
      </c>
      <c r="C20" s="18">
        <f>SUM(B10:B20)</f>
        <v>99000</v>
      </c>
      <c r="D20" s="26">
        <v>9.5000000000000001E-2</v>
      </c>
      <c r="E20" s="25">
        <f>IF(AND(C19&lt;$B$6,$B$6&lt;=C20),($B$6-C19)*D20,IF($B$6&gt;C20,B20*D20,0))</f>
        <v>3135</v>
      </c>
      <c r="F20" s="25">
        <f t="shared" si="1"/>
        <v>0</v>
      </c>
    </row>
    <row r="21" spans="1:7" x14ac:dyDescent="0.2">
      <c r="B21" s="18">
        <v>62000</v>
      </c>
      <c r="C21" s="18">
        <f>SUM(B9:B21)</f>
        <v>165000</v>
      </c>
      <c r="D21" s="24">
        <v>0.1</v>
      </c>
      <c r="E21" s="25">
        <f t="shared" si="0"/>
        <v>2100</v>
      </c>
      <c r="F21" s="25">
        <f t="shared" si="1"/>
        <v>0</v>
      </c>
    </row>
    <row r="22" spans="1:7" x14ac:dyDescent="0.2">
      <c r="B22" s="18">
        <v>165000</v>
      </c>
      <c r="C22" s="18">
        <f>SUM(B9:B22)</f>
        <v>330000</v>
      </c>
      <c r="D22" s="26">
        <v>0.105</v>
      </c>
      <c r="E22" s="25">
        <f t="shared" si="0"/>
        <v>0</v>
      </c>
      <c r="F22" s="25">
        <f t="shared" si="1"/>
        <v>0</v>
      </c>
    </row>
    <row r="23" spans="1:7" x14ac:dyDescent="0.2">
      <c r="B23" s="18">
        <v>330000</v>
      </c>
      <c r="C23" s="18">
        <f>SUM(B9:B23)</f>
        <v>660000</v>
      </c>
      <c r="D23" s="24">
        <v>0.11</v>
      </c>
      <c r="E23" s="25">
        <f t="shared" si="0"/>
        <v>0</v>
      </c>
      <c r="F23" s="25">
        <f t="shared" si="1"/>
        <v>0</v>
      </c>
    </row>
    <row r="24" spans="1:7" x14ac:dyDescent="0.2">
      <c r="E24" s="25">
        <f>IF(C23&lt;$B$6,($B$6-C23)*D23,0)</f>
        <v>0</v>
      </c>
      <c r="F24" s="25">
        <f t="shared" si="1"/>
        <v>0</v>
      </c>
    </row>
    <row r="25" spans="1:7" x14ac:dyDescent="0.2">
      <c r="E25" s="25"/>
    </row>
    <row r="26" spans="1:7" x14ac:dyDescent="0.2">
      <c r="A26" s="18" t="s">
        <v>60</v>
      </c>
      <c r="E26" s="25">
        <f>SUM(E9:E24)</f>
        <v>9488</v>
      </c>
      <c r="F26" s="25">
        <f>SUM(F9:F24)</f>
        <v>6706</v>
      </c>
    </row>
    <row r="27" spans="1:7" ht="16" thickBot="1" x14ac:dyDescent="0.25">
      <c r="A27" s="18" t="s">
        <v>72</v>
      </c>
      <c r="E27" s="18">
        <f>IF('Delta-Rechner'!$D$25="A",'AG (F)'!E26,0)</f>
        <v>0</v>
      </c>
      <c r="F27" s="18">
        <f>IF('Delta-Rechner'!$D$25="B",'AG (F)'!F26,0)</f>
        <v>6706</v>
      </c>
    </row>
    <row r="28" spans="1:7" ht="16" thickBot="1" x14ac:dyDescent="0.25">
      <c r="A28" s="38" t="s">
        <v>83</v>
      </c>
      <c r="E28" s="27">
        <f>E27/$B$6</f>
        <v>0</v>
      </c>
      <c r="F28" s="27">
        <f>F27/$B$6</f>
        <v>5.5883333333333333E-2</v>
      </c>
      <c r="G28" s="36">
        <f>SUM(E28:F28)</f>
        <v>5.5883333333333333E-2</v>
      </c>
    </row>
    <row r="33" spans="1:7" x14ac:dyDescent="0.2">
      <c r="A33" s="19" t="s">
        <v>56</v>
      </c>
      <c r="B33" s="23" t="s">
        <v>73</v>
      </c>
      <c r="C33" s="23" t="s">
        <v>74</v>
      </c>
    </row>
    <row r="34" spans="1:7" ht="16" thickBot="1" x14ac:dyDescent="0.25">
      <c r="B34" s="20">
        <v>1</v>
      </c>
      <c r="C34" s="20">
        <v>0.5</v>
      </c>
    </row>
    <row r="35" spans="1:7" ht="16" thickBot="1" x14ac:dyDescent="0.25">
      <c r="A35" s="18" t="s">
        <v>71</v>
      </c>
      <c r="B35" s="37">
        <f>'Delta-Rechner'!D43</f>
        <v>94000</v>
      </c>
      <c r="C35" s="18">
        <f>B35/2</f>
        <v>47000</v>
      </c>
    </row>
    <row r="36" spans="1:7" ht="30" x14ac:dyDescent="0.2">
      <c r="A36" s="21" t="s">
        <v>62</v>
      </c>
      <c r="B36" s="22" t="s">
        <v>69</v>
      </c>
      <c r="C36" s="22" t="s">
        <v>68</v>
      </c>
      <c r="D36" s="22" t="s">
        <v>57</v>
      </c>
      <c r="E36" s="22" t="s">
        <v>58</v>
      </c>
      <c r="F36" s="22" t="s">
        <v>59</v>
      </c>
      <c r="G36" s="22" t="s">
        <v>75</v>
      </c>
    </row>
    <row r="37" spans="1:7" x14ac:dyDescent="0.2">
      <c r="B37" s="18">
        <v>0</v>
      </c>
      <c r="C37" s="23">
        <v>0</v>
      </c>
      <c r="D37" s="23"/>
    </row>
    <row r="38" spans="1:7" x14ac:dyDescent="0.2">
      <c r="A38" s="18" t="s">
        <v>63</v>
      </c>
      <c r="B38" s="18">
        <v>4000</v>
      </c>
      <c r="C38" s="18">
        <f>SUM(B38)</f>
        <v>4000</v>
      </c>
      <c r="D38" s="24">
        <v>0</v>
      </c>
      <c r="E38" s="25">
        <f>IF(AND(C37&lt;$B$35,$B$35&lt;=C38),($B$35-C37)*D38,IF($B$35&gt;C38,B38*D38,0))</f>
        <v>0</v>
      </c>
      <c r="F38" s="25">
        <f>IF(AND(C37&lt;$C$35,$C$35&lt;=C38),($C$35-C37)*D38,IF($C$35&gt;C38,B38*D38,0))*2</f>
        <v>0</v>
      </c>
    </row>
    <row r="39" spans="1:7" x14ac:dyDescent="0.2">
      <c r="A39" s="18" t="s">
        <v>64</v>
      </c>
      <c r="B39" s="18">
        <v>3600</v>
      </c>
      <c r="C39" s="18">
        <f>SUM(B38:B39)</f>
        <v>7600</v>
      </c>
      <c r="D39" s="24">
        <v>0.01</v>
      </c>
      <c r="E39" s="25">
        <f t="shared" ref="E39:E53" si="2">IF(AND(C38&lt;$B$35,$B$35&lt;=C39),($B$35-C38)*D39,IF($B$35&gt;C39,B39*D39,0))</f>
        <v>36</v>
      </c>
      <c r="F39" s="25">
        <f t="shared" ref="F39:F53" si="3">IF(AND(C38&lt;$C$35,$C$35&lt;=C39),($C$35-C38)*D39,IF($C$35&gt;C39,B39*D39,0))*2</f>
        <v>72</v>
      </c>
    </row>
    <row r="40" spans="1:7" x14ac:dyDescent="0.2">
      <c r="A40" s="18" t="s">
        <v>65</v>
      </c>
      <c r="B40" s="18">
        <v>3600</v>
      </c>
      <c r="C40" s="18">
        <f>SUM(B38:B40)</f>
        <v>11200</v>
      </c>
      <c r="D40" s="24">
        <v>0.02</v>
      </c>
      <c r="E40" s="25">
        <f t="shared" si="2"/>
        <v>72</v>
      </c>
      <c r="F40" s="25">
        <f t="shared" si="3"/>
        <v>144</v>
      </c>
    </row>
    <row r="41" spans="1:7" x14ac:dyDescent="0.2">
      <c r="A41" s="18" t="s">
        <v>66</v>
      </c>
      <c r="B41" s="18">
        <v>4000</v>
      </c>
      <c r="C41" s="18">
        <f>SUM(B38:B41)</f>
        <v>15200</v>
      </c>
      <c r="D41" s="24">
        <v>0.03</v>
      </c>
      <c r="E41" s="25">
        <f t="shared" si="2"/>
        <v>120</v>
      </c>
      <c r="F41" s="25">
        <f t="shared" si="3"/>
        <v>240</v>
      </c>
    </row>
    <row r="42" spans="1:7" x14ac:dyDescent="0.2">
      <c r="A42" s="18" t="s">
        <v>67</v>
      </c>
      <c r="B42" s="18">
        <v>4000</v>
      </c>
      <c r="C42" s="18">
        <f>SUM(B38:B42)</f>
        <v>19200</v>
      </c>
      <c r="D42" s="24">
        <v>0.04</v>
      </c>
      <c r="E42" s="25">
        <f t="shared" si="2"/>
        <v>160</v>
      </c>
      <c r="F42" s="25">
        <f t="shared" si="3"/>
        <v>320</v>
      </c>
    </row>
    <row r="43" spans="1:7" x14ac:dyDescent="0.2">
      <c r="B43" s="18">
        <v>4800</v>
      </c>
      <c r="C43" s="18">
        <f>SUM(B38:B43)</f>
        <v>24000</v>
      </c>
      <c r="D43" s="24">
        <v>0.05</v>
      </c>
      <c r="E43" s="25">
        <f t="shared" si="2"/>
        <v>240</v>
      </c>
      <c r="F43" s="25">
        <f t="shared" si="3"/>
        <v>480</v>
      </c>
    </row>
    <row r="44" spans="1:7" x14ac:dyDescent="0.2">
      <c r="B44" s="18">
        <v>7000</v>
      </c>
      <c r="C44" s="18">
        <f>SUM(B38:B44)</f>
        <v>31000</v>
      </c>
      <c r="D44" s="24">
        <v>0.06</v>
      </c>
      <c r="E44" s="25">
        <f t="shared" si="2"/>
        <v>420</v>
      </c>
      <c r="F44" s="25">
        <f t="shared" si="3"/>
        <v>840</v>
      </c>
    </row>
    <row r="45" spans="1:7" x14ac:dyDescent="0.2">
      <c r="B45" s="18">
        <v>8000</v>
      </c>
      <c r="C45" s="18">
        <f>SUM(B38:B45)</f>
        <v>39000</v>
      </c>
      <c r="D45" s="24">
        <v>7.0000000000000007E-2</v>
      </c>
      <c r="E45" s="25">
        <f t="shared" si="2"/>
        <v>560</v>
      </c>
      <c r="F45" s="25">
        <f t="shared" si="3"/>
        <v>1120</v>
      </c>
    </row>
    <row r="46" spans="1:7" x14ac:dyDescent="0.2">
      <c r="B46" s="18">
        <v>9000</v>
      </c>
      <c r="C46" s="18">
        <f>SUM(B38:B46)</f>
        <v>48000</v>
      </c>
      <c r="D46" s="24">
        <v>0.08</v>
      </c>
      <c r="E46" s="25">
        <f t="shared" si="2"/>
        <v>720</v>
      </c>
      <c r="F46" s="25">
        <f t="shared" si="3"/>
        <v>1280</v>
      </c>
    </row>
    <row r="47" spans="1:7" x14ac:dyDescent="0.2">
      <c r="B47" s="18">
        <v>11000</v>
      </c>
      <c r="C47" s="18">
        <f>SUM(B38:B47)</f>
        <v>59000</v>
      </c>
      <c r="D47" s="26">
        <v>8.5000000000000006E-2</v>
      </c>
      <c r="E47" s="25">
        <f t="shared" si="2"/>
        <v>935.00000000000011</v>
      </c>
      <c r="F47" s="25">
        <f t="shared" si="3"/>
        <v>0</v>
      </c>
    </row>
    <row r="48" spans="1:7" x14ac:dyDescent="0.2">
      <c r="B48" s="18">
        <v>11000</v>
      </c>
      <c r="C48" s="18">
        <f>SUM(B38:B48)</f>
        <v>70000</v>
      </c>
      <c r="D48" s="24">
        <v>0.09</v>
      </c>
      <c r="E48" s="25">
        <f>IF(AND(C47&lt;$B$35,$B$35&lt;=C48),($B$35-C47)*D48,IF($B$35&gt;C48,B48*D48,0))</f>
        <v>990</v>
      </c>
      <c r="F48" s="25">
        <f t="shared" si="3"/>
        <v>0</v>
      </c>
    </row>
    <row r="49" spans="1:7" x14ac:dyDescent="0.2">
      <c r="B49" s="18">
        <v>33000</v>
      </c>
      <c r="C49" s="18">
        <f>SUM(B38:B49)</f>
        <v>103000</v>
      </c>
      <c r="D49" s="26">
        <v>9.5000000000000001E-2</v>
      </c>
      <c r="E49" s="25">
        <f>IF(AND(C48&lt;$B$35,$B$35&lt;=C49),($B$35-C48)*D49,IF($B$35&gt;C49,B49*D49,0))</f>
        <v>2280</v>
      </c>
      <c r="F49" s="25">
        <f t="shared" si="3"/>
        <v>0</v>
      </c>
    </row>
    <row r="50" spans="1:7" x14ac:dyDescent="0.2">
      <c r="B50" s="18">
        <v>62000</v>
      </c>
      <c r="C50" s="18">
        <f>SUM(B38:B50)</f>
        <v>165000</v>
      </c>
      <c r="D50" s="24">
        <v>0.1</v>
      </c>
      <c r="E50" s="25">
        <f t="shared" si="2"/>
        <v>0</v>
      </c>
      <c r="F50" s="25">
        <f t="shared" si="3"/>
        <v>0</v>
      </c>
    </row>
    <row r="51" spans="1:7" x14ac:dyDescent="0.2">
      <c r="B51" s="18">
        <v>165000</v>
      </c>
      <c r="C51" s="18">
        <f>SUM(B38:B51)</f>
        <v>330000</v>
      </c>
      <c r="D51" s="26">
        <v>0.105</v>
      </c>
      <c r="E51" s="25">
        <f t="shared" si="2"/>
        <v>0</v>
      </c>
      <c r="F51" s="25">
        <f t="shared" si="3"/>
        <v>0</v>
      </c>
    </row>
    <row r="52" spans="1:7" x14ac:dyDescent="0.2">
      <c r="B52" s="18">
        <v>330000</v>
      </c>
      <c r="C52" s="18">
        <f>SUM(B38:B52)</f>
        <v>660000</v>
      </c>
      <c r="D52" s="24">
        <v>0.11</v>
      </c>
      <c r="E52" s="25">
        <f t="shared" si="2"/>
        <v>0</v>
      </c>
      <c r="F52" s="25">
        <f t="shared" si="3"/>
        <v>0</v>
      </c>
    </row>
    <row r="53" spans="1:7" x14ac:dyDescent="0.2">
      <c r="E53" s="25">
        <f t="shared" si="2"/>
        <v>0</v>
      </c>
      <c r="F53" s="25">
        <f t="shared" si="3"/>
        <v>0</v>
      </c>
    </row>
    <row r="54" spans="1:7" x14ac:dyDescent="0.2">
      <c r="E54" s="25"/>
    </row>
    <row r="55" spans="1:7" x14ac:dyDescent="0.2">
      <c r="A55" s="18" t="s">
        <v>60</v>
      </c>
      <c r="E55" s="25">
        <f>SUM(E38:E53)</f>
        <v>6533</v>
      </c>
      <c r="F55" s="25">
        <f>SUM(F38:F53)</f>
        <v>4496</v>
      </c>
    </row>
    <row r="56" spans="1:7" ht="16" thickBot="1" x14ac:dyDescent="0.25">
      <c r="A56" s="18" t="s">
        <v>72</v>
      </c>
      <c r="E56" s="18">
        <f>IF('Delta-Rechner'!$D$25="A",'AG (F)'!E55,0)</f>
        <v>0</v>
      </c>
      <c r="F56" s="18">
        <f>IF('Delta-Rechner'!$D$25="B",'AG (F)'!F55,0)</f>
        <v>4496</v>
      </c>
    </row>
    <row r="57" spans="1:7" ht="16" thickBot="1" x14ac:dyDescent="0.25">
      <c r="A57" s="38" t="s">
        <v>84</v>
      </c>
      <c r="E57" s="27">
        <f>E56/$B$35</f>
        <v>0</v>
      </c>
      <c r="F57" s="27">
        <f>F56/$B$35</f>
        <v>4.7829787234042555E-2</v>
      </c>
      <c r="G57" s="36">
        <f>SUM(E57:F57)</f>
        <v>4.7829787234042555E-2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D5" workbookViewId="0">
      <selection activeCell="A3" sqref="A3:G25"/>
    </sheetView>
  </sheetViews>
  <sheetFormatPr baseColWidth="10" defaultRowHeight="15" x14ac:dyDescent="0.2"/>
  <cols>
    <col min="1" max="1" width="48.1640625" style="18" customWidth="1"/>
    <col min="2" max="2" width="12.5" style="18" customWidth="1"/>
    <col min="3" max="3" width="19.33203125" style="18" customWidth="1"/>
    <col min="4" max="4" width="10.83203125" style="18" customWidth="1"/>
    <col min="5" max="5" width="13" style="18" customWidth="1"/>
    <col min="6" max="6" width="14.6640625" style="18" customWidth="1"/>
    <col min="7" max="8" width="24.5" style="18" customWidth="1"/>
    <col min="9" max="9" width="40.6640625" style="18" customWidth="1"/>
    <col min="10" max="10" width="16.5" style="18" customWidth="1"/>
    <col min="11" max="11" width="15.5" style="18" customWidth="1"/>
    <col min="12" max="12" width="10.83203125" style="18"/>
    <col min="13" max="13" width="14.83203125" style="18" customWidth="1"/>
    <col min="14" max="14" width="18.1640625" style="18" customWidth="1"/>
    <col min="15" max="15" width="20.5" style="18" customWidth="1"/>
    <col min="16" max="16384" width="10.83203125" style="18"/>
  </cols>
  <sheetData>
    <row r="1" spans="1:15" ht="21.75" customHeight="1" x14ac:dyDescent="0.2">
      <c r="A1" s="19"/>
      <c r="B1" s="19"/>
      <c r="C1" s="19"/>
      <c r="D1" s="19"/>
      <c r="E1" s="19"/>
      <c r="F1" s="19"/>
    </row>
    <row r="2" spans="1:15" x14ac:dyDescent="0.2">
      <c r="A2" s="71" t="s">
        <v>188</v>
      </c>
      <c r="B2" s="19"/>
      <c r="C2" s="19"/>
      <c r="D2" s="19"/>
      <c r="E2" s="19"/>
      <c r="F2" s="19"/>
    </row>
    <row r="3" spans="1:15" ht="18" customHeight="1" x14ac:dyDescent="0.2">
      <c r="A3" s="38" t="s">
        <v>168</v>
      </c>
      <c r="H3" s="61"/>
      <c r="I3" s="38" t="s">
        <v>168</v>
      </c>
    </row>
    <row r="4" spans="1:15" ht="15.75" customHeight="1" x14ac:dyDescent="0.2">
      <c r="A4" s="19" t="s">
        <v>166</v>
      </c>
      <c r="B4" s="23"/>
      <c r="C4" s="23"/>
      <c r="H4" s="19"/>
      <c r="I4" s="19" t="s">
        <v>167</v>
      </c>
      <c r="J4" s="23"/>
      <c r="K4" s="23"/>
    </row>
    <row r="5" spans="1:15" ht="15.75" customHeight="1" x14ac:dyDescent="0.2">
      <c r="B5" s="20"/>
      <c r="C5" s="20"/>
      <c r="J5" s="20"/>
      <c r="K5" s="20"/>
    </row>
    <row r="6" spans="1:15" x14ac:dyDescent="0.2">
      <c r="B6" s="19"/>
      <c r="C6" s="34"/>
      <c r="J6" s="19"/>
      <c r="K6" s="34"/>
    </row>
    <row r="7" spans="1:15" ht="17" customHeight="1" x14ac:dyDescent="0.2">
      <c r="A7" s="21" t="s">
        <v>62</v>
      </c>
      <c r="B7" s="22" t="s">
        <v>69</v>
      </c>
      <c r="C7" s="22" t="s">
        <v>68</v>
      </c>
      <c r="D7" s="22" t="s">
        <v>57</v>
      </c>
      <c r="E7" s="22" t="s">
        <v>169</v>
      </c>
      <c r="F7" s="22" t="s">
        <v>176</v>
      </c>
      <c r="G7" s="21" t="s">
        <v>161</v>
      </c>
      <c r="I7" s="21" t="s">
        <v>62</v>
      </c>
      <c r="J7" s="22" t="s">
        <v>69</v>
      </c>
      <c r="K7" s="22" t="s">
        <v>68</v>
      </c>
      <c r="L7" s="22" t="s">
        <v>57</v>
      </c>
      <c r="M7" s="22" t="s">
        <v>169</v>
      </c>
      <c r="N7" s="22" t="s">
        <v>176</v>
      </c>
      <c r="O7" s="21" t="s">
        <v>161</v>
      </c>
    </row>
    <row r="8" spans="1:15" ht="19" customHeight="1" x14ac:dyDescent="0.2">
      <c r="A8" s="18" t="s">
        <v>170</v>
      </c>
      <c r="B8" s="64">
        <v>3100</v>
      </c>
      <c r="C8" s="64">
        <f>SUM(B8)</f>
        <v>3100</v>
      </c>
      <c r="D8" s="63">
        <v>1.95E-2</v>
      </c>
      <c r="E8" s="64">
        <f>B8*D8</f>
        <v>60.45</v>
      </c>
      <c r="F8" s="64">
        <f>SUM($E$8:E8)</f>
        <v>60.45</v>
      </c>
      <c r="G8" s="64">
        <f t="shared" ref="G8:G9" si="0">IF(AND($B$24&gt;=$C7,$B$24&lt;$C8),$F7+($B$24-$C7)*$D8,0)</f>
        <v>0</v>
      </c>
      <c r="I8" s="18" t="s">
        <v>177</v>
      </c>
      <c r="J8" s="18">
        <v>3100</v>
      </c>
      <c r="K8" s="64">
        <f>SUM(J8)</f>
        <v>3100</v>
      </c>
      <c r="L8" s="63">
        <v>1.55E-2</v>
      </c>
      <c r="M8" s="64">
        <f>J8*L8</f>
        <v>48.05</v>
      </c>
      <c r="N8" s="64">
        <f>SUM(M$8:M8)</f>
        <v>48.05</v>
      </c>
      <c r="O8" s="64">
        <f t="shared" ref="O8:O19" si="1">IF(AND($J$24&gt;=$K7,$J$24&lt;$K8),$N7+($J$24-$K7)*$L8,0)</f>
        <v>0</v>
      </c>
    </row>
    <row r="9" spans="1:15" ht="16" customHeight="1" x14ac:dyDescent="0.2">
      <c r="A9" s="18" t="s">
        <v>171</v>
      </c>
      <c r="B9" s="64">
        <v>3100</v>
      </c>
      <c r="C9" s="64">
        <f>SUM(B8:B9)</f>
        <v>6200</v>
      </c>
      <c r="D9" s="63">
        <v>2.9000000000000001E-2</v>
      </c>
      <c r="E9" s="64">
        <f t="shared" ref="E9:E20" si="2">B9*D9</f>
        <v>89.9</v>
      </c>
      <c r="F9" s="64">
        <f>SUM($E$8:E9)</f>
        <v>150.35000000000002</v>
      </c>
      <c r="G9" s="64">
        <f t="shared" si="0"/>
        <v>0</v>
      </c>
      <c r="I9" s="18" t="s">
        <v>178</v>
      </c>
      <c r="J9" s="18">
        <v>3100</v>
      </c>
      <c r="K9" s="64">
        <f>SUM(J8:J9)</f>
        <v>6200</v>
      </c>
      <c r="L9" s="63">
        <v>1.6500000000000001E-2</v>
      </c>
      <c r="M9" s="64">
        <f t="shared" ref="M9:M20" si="3">J9*L9</f>
        <v>51.150000000000006</v>
      </c>
      <c r="N9" s="64">
        <f>SUM(M$8:M9)</f>
        <v>99.2</v>
      </c>
      <c r="O9" s="64">
        <f t="shared" si="1"/>
        <v>0</v>
      </c>
    </row>
    <row r="10" spans="1:15" ht="20" customHeight="1" x14ac:dyDescent="0.2">
      <c r="A10" s="18" t="s">
        <v>172</v>
      </c>
      <c r="B10" s="64">
        <v>9400</v>
      </c>
      <c r="C10" s="64">
        <f>SUM(B8:B10)</f>
        <v>15600</v>
      </c>
      <c r="D10" s="63">
        <v>3.5999999999999997E-2</v>
      </c>
      <c r="E10" s="64">
        <f t="shared" si="2"/>
        <v>338.4</v>
      </c>
      <c r="F10" s="64">
        <f>SUM($E$8:E10)</f>
        <v>488.75</v>
      </c>
      <c r="G10" s="64">
        <f>IF(AND($B$24&gt;=$C9,$B$24&lt;$C10),$F9+($B$24-$C9)*$D10,0)</f>
        <v>0</v>
      </c>
      <c r="I10" s="18" t="s">
        <v>179</v>
      </c>
      <c r="J10" s="18">
        <v>9400</v>
      </c>
      <c r="K10" s="64">
        <f>SUM(J8:J10)</f>
        <v>15600</v>
      </c>
      <c r="L10" s="63">
        <v>2.8500000000000001E-2</v>
      </c>
      <c r="M10" s="64">
        <f t="shared" si="3"/>
        <v>267.90000000000003</v>
      </c>
      <c r="N10" s="64">
        <f>SUM(M$8:M10)</f>
        <v>367.1</v>
      </c>
      <c r="O10" s="64">
        <f t="shared" si="1"/>
        <v>0</v>
      </c>
    </row>
    <row r="11" spans="1:15" ht="19" customHeight="1" x14ac:dyDescent="0.2">
      <c r="A11" s="18" t="s">
        <v>173</v>
      </c>
      <c r="B11" s="64">
        <v>15400</v>
      </c>
      <c r="C11" s="64">
        <f>SUM(B8:B11)</f>
        <v>31000</v>
      </c>
      <c r="D11" s="63">
        <v>4.1500000000000002E-2</v>
      </c>
      <c r="E11" s="64">
        <f t="shared" si="2"/>
        <v>639.1</v>
      </c>
      <c r="F11" s="64">
        <f>SUM($E$8:E11)</f>
        <v>1127.8499999999999</v>
      </c>
      <c r="G11" s="64">
        <f t="shared" ref="G11:G20" si="4">IF(AND($B$24&gt;=$C10,$B$24&lt;$C11),$F10+($B$24-$C10)*$D11,0)</f>
        <v>0</v>
      </c>
      <c r="I11" s="18" t="s">
        <v>180</v>
      </c>
      <c r="J11" s="62">
        <v>15400</v>
      </c>
      <c r="K11" s="64">
        <f>SUM(J8:J11)</f>
        <v>31000</v>
      </c>
      <c r="L11" s="63">
        <v>3.6499999999999998E-2</v>
      </c>
      <c r="M11" s="64">
        <f t="shared" si="3"/>
        <v>562.09999999999991</v>
      </c>
      <c r="N11" s="64">
        <f>SUM(M$8:M11)</f>
        <v>929.19999999999993</v>
      </c>
      <c r="O11" s="64">
        <f t="shared" si="1"/>
        <v>0</v>
      </c>
    </row>
    <row r="12" spans="1:15" x14ac:dyDescent="0.2">
      <c r="A12" s="18" t="s">
        <v>67</v>
      </c>
      <c r="B12" s="64">
        <v>25700</v>
      </c>
      <c r="C12" s="64">
        <f>SUM(B8:B12)</f>
        <v>56700</v>
      </c>
      <c r="D12" s="63">
        <v>4.4499999999999998E-2</v>
      </c>
      <c r="E12" s="64">
        <f t="shared" si="2"/>
        <v>1143.6499999999999</v>
      </c>
      <c r="F12" s="64">
        <f>SUM($E$8:E12)</f>
        <v>2271.5</v>
      </c>
      <c r="G12" s="64">
        <f t="shared" si="4"/>
        <v>0</v>
      </c>
      <c r="I12" s="18" t="s">
        <v>67</v>
      </c>
      <c r="J12" s="62">
        <v>25700</v>
      </c>
      <c r="K12" s="64">
        <f>SUM(J8:J12)</f>
        <v>56700</v>
      </c>
      <c r="L12" s="63">
        <v>3.7999999999999999E-2</v>
      </c>
      <c r="M12" s="64">
        <f t="shared" si="3"/>
        <v>976.6</v>
      </c>
      <c r="N12" s="64">
        <f>SUM(M$8:M12)</f>
        <v>1905.8</v>
      </c>
      <c r="O12" s="64">
        <f t="shared" si="1"/>
        <v>0</v>
      </c>
    </row>
    <row r="13" spans="1:15" x14ac:dyDescent="0.2">
      <c r="B13" s="64">
        <v>25700</v>
      </c>
      <c r="C13" s="64">
        <f>SUM(B8:B13)</f>
        <v>82400</v>
      </c>
      <c r="D13" s="63">
        <v>0.05</v>
      </c>
      <c r="E13" s="64">
        <f t="shared" si="2"/>
        <v>1285</v>
      </c>
      <c r="F13" s="64">
        <f>SUM($E$8:E13)</f>
        <v>3556.5</v>
      </c>
      <c r="G13" s="64">
        <f t="shared" si="4"/>
        <v>0</v>
      </c>
      <c r="J13" s="62">
        <v>25700</v>
      </c>
      <c r="K13" s="64">
        <f>SUM(J8:J13)</f>
        <v>82400</v>
      </c>
      <c r="L13" s="63">
        <v>4.2999999999999997E-2</v>
      </c>
      <c r="M13" s="64">
        <f t="shared" si="3"/>
        <v>1105.0999999999999</v>
      </c>
      <c r="N13" s="64">
        <f>SUM(M$8:M13)</f>
        <v>3010.8999999999996</v>
      </c>
      <c r="O13" s="64">
        <f t="shared" si="1"/>
        <v>0</v>
      </c>
    </row>
    <row r="14" spans="1:15" x14ac:dyDescent="0.2">
      <c r="B14" s="64">
        <v>25700</v>
      </c>
      <c r="C14" s="64">
        <f>SUM(B8:B14)</f>
        <v>108100</v>
      </c>
      <c r="D14" s="63">
        <v>5.6000000000000001E-2</v>
      </c>
      <c r="E14" s="64">
        <f t="shared" si="2"/>
        <v>1439.2</v>
      </c>
      <c r="F14" s="64">
        <f>SUM($E$8:E14)</f>
        <v>4995.7</v>
      </c>
      <c r="G14" s="64">
        <f t="shared" si="4"/>
        <v>0</v>
      </c>
      <c r="J14" s="62">
        <v>25700</v>
      </c>
      <c r="K14" s="64">
        <f>SUM(J8:J14)</f>
        <v>108100</v>
      </c>
      <c r="L14" s="63">
        <v>4.8500000000000001E-2</v>
      </c>
      <c r="M14" s="64">
        <f t="shared" si="3"/>
        <v>1246.45</v>
      </c>
      <c r="N14" s="64">
        <f>SUM(M$8:M14)</f>
        <v>4257.3499999999995</v>
      </c>
      <c r="O14" s="64">
        <f t="shared" si="1"/>
        <v>0</v>
      </c>
    </row>
    <row r="15" spans="1:15" x14ac:dyDescent="0.2">
      <c r="B15" s="64">
        <v>25700</v>
      </c>
      <c r="C15" s="64">
        <f>SUM(B8:B15)</f>
        <v>133800</v>
      </c>
      <c r="D15" s="63">
        <v>5.7500000000000002E-2</v>
      </c>
      <c r="E15" s="64">
        <f t="shared" si="2"/>
        <v>1477.75</v>
      </c>
      <c r="F15" s="64">
        <f>SUM($E$8:E15)</f>
        <v>6473.45</v>
      </c>
      <c r="G15" s="64">
        <f t="shared" si="4"/>
        <v>0</v>
      </c>
      <c r="J15" s="62">
        <v>25700</v>
      </c>
      <c r="K15" s="64">
        <f>SUM(J8:J15)</f>
        <v>133800</v>
      </c>
      <c r="L15" s="63">
        <v>5.1999999999999998E-2</v>
      </c>
      <c r="M15" s="64">
        <f t="shared" si="3"/>
        <v>1336.3999999999999</v>
      </c>
      <c r="N15" s="64">
        <f>SUM(M$8:M15)</f>
        <v>5593.7499999999991</v>
      </c>
      <c r="O15" s="64">
        <f t="shared" si="1"/>
        <v>0</v>
      </c>
    </row>
    <row r="16" spans="1:15" x14ac:dyDescent="0.2">
      <c r="B16" s="64">
        <v>25700</v>
      </c>
      <c r="C16" s="64">
        <f>SUM(B8:B16)</f>
        <v>159500</v>
      </c>
      <c r="D16" s="63">
        <v>5.8999999999999997E-2</v>
      </c>
      <c r="E16" s="64">
        <f t="shared" si="2"/>
        <v>1516.3</v>
      </c>
      <c r="F16" s="64">
        <f>SUM($E$8:E16)</f>
        <v>7989.75</v>
      </c>
      <c r="G16" s="64">
        <f t="shared" si="4"/>
        <v>0</v>
      </c>
      <c r="J16" s="62">
        <v>39700</v>
      </c>
      <c r="K16" s="64">
        <f>SUM(J8:J16)</f>
        <v>173500</v>
      </c>
      <c r="L16" s="63">
        <v>5.7000000000000002E-2</v>
      </c>
      <c r="M16" s="64">
        <f t="shared" si="3"/>
        <v>2262.9</v>
      </c>
      <c r="N16" s="64">
        <f>SUM(M$8:M16)</f>
        <v>7856.65</v>
      </c>
      <c r="O16" s="64">
        <f t="shared" si="1"/>
        <v>0</v>
      </c>
    </row>
    <row r="17" spans="1:15" x14ac:dyDescent="0.2">
      <c r="B17" s="64">
        <v>25700</v>
      </c>
      <c r="C17" s="64">
        <f>SUM(B8:B17)</f>
        <v>185200</v>
      </c>
      <c r="D17" s="63">
        <v>6.0499999999999998E-2</v>
      </c>
      <c r="E17" s="64">
        <f t="shared" si="2"/>
        <v>1554.85</v>
      </c>
      <c r="F17" s="64">
        <f>SUM($E$8:E17)</f>
        <v>9544.6</v>
      </c>
      <c r="G17" s="64">
        <f>IF(AND($B$24&gt;=$C16,$B$24&lt;$C17),$F16+($B$24-$C16)*$D17,0)</f>
        <v>0</v>
      </c>
      <c r="J17" s="62">
        <v>51800</v>
      </c>
      <c r="K17" s="64">
        <f>SUM(J8:J17)</f>
        <v>225300</v>
      </c>
      <c r="L17" s="63">
        <v>5.8500000000000003E-2</v>
      </c>
      <c r="M17" s="64">
        <f t="shared" si="3"/>
        <v>3030.3</v>
      </c>
      <c r="N17" s="64">
        <f>SUM(M$8:M17)</f>
        <v>10886.95</v>
      </c>
      <c r="O17" s="64">
        <f t="shared" si="1"/>
        <v>0</v>
      </c>
    </row>
    <row r="18" spans="1:15" x14ac:dyDescent="0.2">
      <c r="B18" s="64">
        <v>35900</v>
      </c>
      <c r="C18" s="64">
        <f>SUM(B8:B18)</f>
        <v>221100</v>
      </c>
      <c r="D18" s="63">
        <v>6.1499999999999999E-2</v>
      </c>
      <c r="E18" s="64">
        <f t="shared" si="2"/>
        <v>2207.85</v>
      </c>
      <c r="F18" s="64">
        <f>SUM($E$8:E18)</f>
        <v>11752.45</v>
      </c>
      <c r="G18" s="64">
        <f t="shared" si="4"/>
        <v>0</v>
      </c>
      <c r="J18" s="62">
        <v>51800</v>
      </c>
      <c r="K18" s="64">
        <f>SUM(J8:J18)</f>
        <v>277100</v>
      </c>
      <c r="L18" s="63">
        <v>5.9499999999999997E-2</v>
      </c>
      <c r="M18" s="64">
        <f t="shared" si="3"/>
        <v>3082.1</v>
      </c>
      <c r="N18" s="64">
        <f>SUM(M$8:M18)</f>
        <v>13969.050000000001</v>
      </c>
      <c r="O18" s="64">
        <f t="shared" si="1"/>
        <v>0</v>
      </c>
    </row>
    <row r="19" spans="1:15" x14ac:dyDescent="0.2">
      <c r="B19" s="64">
        <v>82900</v>
      </c>
      <c r="C19" s="64">
        <f>SUM(B9:B19)</f>
        <v>300900</v>
      </c>
      <c r="D19" s="63">
        <v>6.3E-2</v>
      </c>
      <c r="E19" s="64">
        <f t="shared" si="2"/>
        <v>5222.7</v>
      </c>
      <c r="F19" s="64">
        <f>SUM($E$8:E19)</f>
        <v>16975.150000000001</v>
      </c>
      <c r="G19" s="64">
        <f t="shared" si="4"/>
        <v>0</v>
      </c>
      <c r="J19" s="62">
        <v>51800</v>
      </c>
      <c r="K19" s="64">
        <f>SUM(J9:J19)</f>
        <v>325800</v>
      </c>
      <c r="L19" s="63">
        <v>6.2E-2</v>
      </c>
      <c r="M19" s="64">
        <f t="shared" si="3"/>
        <v>3211.6</v>
      </c>
      <c r="N19" s="64">
        <f>SUM(M$8:M19)</f>
        <v>17180.650000000001</v>
      </c>
      <c r="O19" s="64">
        <f t="shared" si="1"/>
        <v>0</v>
      </c>
    </row>
    <row r="20" spans="1:15" x14ac:dyDescent="0.2">
      <c r="B20" s="64">
        <v>145100</v>
      </c>
      <c r="C20" s="64">
        <f>SUM(B8:B20)</f>
        <v>449100</v>
      </c>
      <c r="D20" s="63">
        <v>6.4000000000000001E-2</v>
      </c>
      <c r="E20" s="64">
        <f t="shared" si="2"/>
        <v>9286.4</v>
      </c>
      <c r="F20" s="64">
        <f>SUM($E$8:E20)</f>
        <v>26261.550000000003</v>
      </c>
      <c r="G20" s="64">
        <f t="shared" si="4"/>
        <v>26395.950000000004</v>
      </c>
      <c r="J20" s="62">
        <v>134700</v>
      </c>
      <c r="K20" s="64">
        <f>SUM(J8:J20)</f>
        <v>463600</v>
      </c>
      <c r="L20" s="63">
        <v>6.4000000000000001E-2</v>
      </c>
      <c r="M20" s="64">
        <f t="shared" si="3"/>
        <v>8620.7999999999993</v>
      </c>
      <c r="N20" s="64">
        <f>SUM(M$8:M20)</f>
        <v>25801.45</v>
      </c>
      <c r="O20" s="64">
        <f>IF(AND($J$24&gt;=$K19,$J$24&lt;$K20),$N19+($J$24-$K19)*$L20,0)</f>
        <v>25007.850000000002</v>
      </c>
    </row>
    <row r="21" spans="1:15" ht="16" customHeight="1" x14ac:dyDescent="0.2">
      <c r="A21" s="18" t="s">
        <v>174</v>
      </c>
      <c r="D21" s="63">
        <v>6.5000000000000002E-2</v>
      </c>
      <c r="E21" s="25"/>
      <c r="G21" s="64">
        <f>IF($B$24&gt;=$C20,$F20+($B$24-$C20)*$D21,0)</f>
        <v>0</v>
      </c>
      <c r="I21" s="18" t="s">
        <v>174</v>
      </c>
      <c r="L21" s="63">
        <v>6.5000000000000002E-2</v>
      </c>
      <c r="M21" s="25"/>
      <c r="O21" s="64">
        <f>IF($J$24&gt;=$K20,$N20+($J$24-$K20)*$L21,0)</f>
        <v>0</v>
      </c>
    </row>
    <row r="22" spans="1:15" x14ac:dyDescent="0.2">
      <c r="D22" s="24"/>
      <c r="E22" s="25"/>
      <c r="L22" s="24"/>
      <c r="M22" s="25"/>
    </row>
    <row r="23" spans="1:15" x14ac:dyDescent="0.2">
      <c r="E23" s="25"/>
      <c r="M23" s="25"/>
    </row>
    <row r="24" spans="1:15" ht="17" customHeight="1" x14ac:dyDescent="0.2">
      <c r="A24" s="19" t="s">
        <v>175</v>
      </c>
      <c r="B24" s="64">
        <v>448100</v>
      </c>
      <c r="E24" s="25"/>
      <c r="I24" s="19" t="s">
        <v>175</v>
      </c>
      <c r="J24" s="64">
        <v>448100</v>
      </c>
      <c r="M24" s="25"/>
    </row>
    <row r="25" spans="1:15" ht="15" customHeight="1" x14ac:dyDescent="0.2">
      <c r="A25" s="19" t="s">
        <v>60</v>
      </c>
      <c r="B25" s="65">
        <f>SUM(G8:G21)</f>
        <v>26395.950000000004</v>
      </c>
      <c r="E25" s="25"/>
      <c r="I25" s="19" t="s">
        <v>60</v>
      </c>
      <c r="J25" s="65">
        <f>SUM(O8:O21)</f>
        <v>25007.850000000002</v>
      </c>
      <c r="M25" s="25"/>
    </row>
    <row r="27" spans="1:15" x14ac:dyDescent="0.2">
      <c r="A27" s="38"/>
      <c r="E27" s="27"/>
      <c r="F27" s="19"/>
    </row>
    <row r="28" spans="1:15" x14ac:dyDescent="0.2">
      <c r="A28" s="70" t="s">
        <v>189</v>
      </c>
    </row>
    <row r="32" spans="1:15" x14ac:dyDescent="0.2">
      <c r="A32" s="19"/>
      <c r="B32" s="23"/>
      <c r="C32" s="23"/>
    </row>
    <row r="33" spans="2:10" x14ac:dyDescent="0.2">
      <c r="B33" s="20"/>
      <c r="C33" s="20"/>
    </row>
    <row r="36" spans="2:10" x14ac:dyDescent="0.2">
      <c r="C36" s="23"/>
      <c r="D36" s="23"/>
    </row>
    <row r="37" spans="2:10" x14ac:dyDescent="0.2">
      <c r="D37" s="24"/>
      <c r="E37" s="25"/>
      <c r="J37" s="62"/>
    </row>
    <row r="38" spans="2:10" x14ac:dyDescent="0.2">
      <c r="D38" s="24"/>
      <c r="E38" s="25"/>
      <c r="J38" s="62"/>
    </row>
    <row r="39" spans="2:10" x14ac:dyDescent="0.2">
      <c r="D39" s="24"/>
      <c r="E39" s="25"/>
      <c r="J39" s="62"/>
    </row>
    <row r="40" spans="2:10" x14ac:dyDescent="0.2">
      <c r="D40" s="24"/>
      <c r="E40" s="25"/>
      <c r="J40" s="62"/>
    </row>
    <row r="41" spans="2:10" x14ac:dyDescent="0.2">
      <c r="D41" s="24"/>
      <c r="E41" s="25"/>
      <c r="J41" s="62"/>
    </row>
    <row r="42" spans="2:10" x14ac:dyDescent="0.2">
      <c r="D42" s="24"/>
      <c r="E42" s="25"/>
    </row>
    <row r="43" spans="2:10" x14ac:dyDescent="0.2">
      <c r="D43" s="24"/>
      <c r="E43" s="25"/>
    </row>
    <row r="44" spans="2:10" x14ac:dyDescent="0.2">
      <c r="D44" s="24"/>
      <c r="E44" s="25"/>
    </row>
    <row r="45" spans="2:10" x14ac:dyDescent="0.2">
      <c r="D45" s="24"/>
      <c r="E45" s="25"/>
    </row>
    <row r="46" spans="2:10" x14ac:dyDescent="0.2">
      <c r="D46" s="26"/>
      <c r="E46" s="25"/>
    </row>
    <row r="47" spans="2:10" x14ac:dyDescent="0.2">
      <c r="D47" s="24"/>
      <c r="E47" s="25"/>
    </row>
    <row r="48" spans="2:10" x14ac:dyDescent="0.2">
      <c r="D48" s="26"/>
      <c r="E48" s="25"/>
      <c r="G48" s="62"/>
    </row>
    <row r="49" spans="1:7" x14ac:dyDescent="0.2">
      <c r="D49" s="24"/>
      <c r="E49" s="25"/>
      <c r="G49" s="62"/>
    </row>
    <row r="50" spans="1:7" x14ac:dyDescent="0.2">
      <c r="D50" s="26"/>
      <c r="E50" s="25"/>
      <c r="G50" s="62"/>
    </row>
    <row r="51" spans="1:7" x14ac:dyDescent="0.2">
      <c r="D51" s="24"/>
      <c r="E51" s="25"/>
      <c r="G51" s="62"/>
    </row>
    <row r="52" spans="1:7" x14ac:dyDescent="0.2">
      <c r="E52" s="25"/>
      <c r="G52" s="62"/>
    </row>
    <row r="53" spans="1:7" x14ac:dyDescent="0.2">
      <c r="E53" s="25"/>
      <c r="G53" s="62"/>
    </row>
    <row r="54" spans="1:7" x14ac:dyDescent="0.2">
      <c r="E54" s="25"/>
      <c r="G54" s="62"/>
    </row>
    <row r="55" spans="1:7" x14ac:dyDescent="0.2">
      <c r="G55" s="62"/>
    </row>
    <row r="56" spans="1:7" x14ac:dyDescent="0.2">
      <c r="A56" s="38"/>
      <c r="E56" s="27"/>
      <c r="G56" s="62"/>
    </row>
    <row r="57" spans="1:7" x14ac:dyDescent="0.2">
      <c r="G57" s="6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E30" sqref="E30"/>
    </sheetView>
  </sheetViews>
  <sheetFormatPr baseColWidth="10" defaultRowHeight="15" x14ac:dyDescent="0.2"/>
  <cols>
    <col min="1" max="1" width="23" customWidth="1"/>
    <col min="2" max="2" width="16" customWidth="1"/>
    <col min="4" max="4" width="11.6640625" bestFit="1" customWidth="1"/>
    <col min="6" max="6" width="24.5" customWidth="1"/>
    <col min="7" max="7" width="14.5" customWidth="1"/>
    <col min="9" max="9" width="16.6640625" customWidth="1"/>
  </cols>
  <sheetData>
    <row r="2" spans="1:9" x14ac:dyDescent="0.2">
      <c r="A2" t="s">
        <v>186</v>
      </c>
    </row>
    <row r="4" spans="1:9" ht="16" customHeight="1" x14ac:dyDescent="0.2">
      <c r="A4" s="38" t="s">
        <v>168</v>
      </c>
      <c r="F4" s="38" t="s">
        <v>168</v>
      </c>
    </row>
    <row r="5" spans="1:9" x14ac:dyDescent="0.2">
      <c r="A5" s="19" t="s">
        <v>166</v>
      </c>
      <c r="F5" s="19" t="s">
        <v>167</v>
      </c>
    </row>
    <row r="6" spans="1:9" x14ac:dyDescent="0.2">
      <c r="A6" s="66"/>
      <c r="B6" s="66"/>
      <c r="C6" s="66"/>
      <c r="F6" s="66"/>
      <c r="G6" s="66"/>
      <c r="H6" s="66"/>
    </row>
    <row r="7" spans="1:9" ht="16" customHeight="1" x14ac:dyDescent="0.2">
      <c r="A7" s="67" t="s">
        <v>62</v>
      </c>
      <c r="B7" s="67" t="s">
        <v>69</v>
      </c>
      <c r="C7" s="67" t="s">
        <v>57</v>
      </c>
      <c r="D7" s="67" t="s">
        <v>161</v>
      </c>
      <c r="F7" s="67" t="s">
        <v>62</v>
      </c>
      <c r="G7" s="67" t="s">
        <v>69</v>
      </c>
      <c r="H7" s="67" t="s">
        <v>57</v>
      </c>
      <c r="I7" s="67" t="s">
        <v>161</v>
      </c>
    </row>
    <row r="8" spans="1:9" x14ac:dyDescent="0.2">
      <c r="A8" t="s">
        <v>181</v>
      </c>
      <c r="B8" s="59">
        <v>200000</v>
      </c>
      <c r="C8" s="68">
        <v>0.2225</v>
      </c>
      <c r="D8" s="59">
        <f>IF($B$11&lt;=B8,$B$11*C8,0)</f>
        <v>22250</v>
      </c>
      <c r="F8" t="s">
        <v>181</v>
      </c>
      <c r="G8" s="59">
        <v>400000</v>
      </c>
      <c r="H8" s="68">
        <v>0.2225</v>
      </c>
      <c r="I8" s="59">
        <f>IF($G$11&lt;=G8,$G$11*H8,0)</f>
        <v>0</v>
      </c>
    </row>
    <row r="9" spans="1:9" x14ac:dyDescent="0.2">
      <c r="A9" t="s">
        <v>182</v>
      </c>
      <c r="B9" s="59">
        <v>200000</v>
      </c>
      <c r="C9" s="68">
        <v>0.26</v>
      </c>
      <c r="D9" s="59">
        <f>IF($B$11&gt;B8,$B$11*C9,0)</f>
        <v>0</v>
      </c>
      <c r="F9" t="s">
        <v>182</v>
      </c>
      <c r="G9" s="59">
        <v>400000</v>
      </c>
      <c r="H9" s="68">
        <v>0.26</v>
      </c>
      <c r="I9" s="59">
        <f>IF($G$11&gt;G8,$G$11*H9,0)</f>
        <v>107120</v>
      </c>
    </row>
    <row r="11" spans="1:9" x14ac:dyDescent="0.2">
      <c r="A11" s="1" t="s">
        <v>183</v>
      </c>
      <c r="B11" s="59">
        <v>100000</v>
      </c>
      <c r="F11" s="1" t="s">
        <v>183</v>
      </c>
      <c r="G11" s="59">
        <v>412000</v>
      </c>
    </row>
    <row r="12" spans="1:9" x14ac:dyDescent="0.2">
      <c r="A12" s="1" t="s">
        <v>60</v>
      </c>
      <c r="B12" s="69">
        <f>SUM(D8:D9)</f>
        <v>22250</v>
      </c>
      <c r="F12" s="1" t="s">
        <v>60</v>
      </c>
      <c r="G12" s="69">
        <f>SUM(I8:I9)</f>
        <v>107120</v>
      </c>
    </row>
    <row r="16" spans="1:9" x14ac:dyDescent="0.2">
      <c r="A16" t="s">
        <v>187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5"/>
  <sheetViews>
    <sheetView tabSelected="1" topLeftCell="H4" workbookViewId="0">
      <selection activeCell="P21" sqref="P21"/>
    </sheetView>
  </sheetViews>
  <sheetFormatPr baseColWidth="10" defaultRowHeight="15" x14ac:dyDescent="0.2"/>
  <cols>
    <col min="1" max="1" width="41.83203125" customWidth="1"/>
    <col min="2" max="2" width="17.33203125" customWidth="1"/>
    <col min="3" max="3" width="18.5" customWidth="1"/>
    <col min="6" max="6" width="14" customWidth="1"/>
    <col min="7" max="7" width="17" customWidth="1"/>
    <col min="10" max="10" width="39.1640625" customWidth="1"/>
    <col min="11" max="11" width="17.83203125" customWidth="1"/>
    <col min="12" max="12" width="16.5" customWidth="1"/>
    <col min="15" max="15" width="17.5" customWidth="1"/>
    <col min="16" max="16" width="17.6640625" customWidth="1"/>
  </cols>
  <sheetData>
    <row r="3" spans="1:16" ht="30" x14ac:dyDescent="0.2">
      <c r="A3" s="38" t="s">
        <v>168</v>
      </c>
      <c r="B3" s="18"/>
      <c r="C3" s="18"/>
      <c r="D3" s="18"/>
      <c r="E3" s="18"/>
      <c r="F3" s="18"/>
      <c r="G3" s="18"/>
      <c r="J3" s="38" t="s">
        <v>168</v>
      </c>
      <c r="K3" s="18"/>
      <c r="L3" s="18"/>
      <c r="M3" s="18"/>
      <c r="N3" s="18"/>
      <c r="O3" s="18"/>
      <c r="P3" s="18"/>
    </row>
    <row r="4" spans="1:16" x14ac:dyDescent="0.2">
      <c r="A4" s="19" t="s">
        <v>166</v>
      </c>
      <c r="B4" s="23"/>
      <c r="C4" s="23"/>
      <c r="D4" s="18"/>
      <c r="E4" s="18"/>
      <c r="F4" s="18"/>
      <c r="G4" s="18"/>
      <c r="J4" s="19" t="s">
        <v>167</v>
      </c>
      <c r="K4" s="23"/>
      <c r="L4" s="23"/>
      <c r="M4" s="18"/>
      <c r="N4" s="18"/>
      <c r="O4" s="18"/>
      <c r="P4" s="18"/>
    </row>
    <row r="5" spans="1:16" x14ac:dyDescent="0.2">
      <c r="A5" s="18"/>
      <c r="B5" s="20"/>
      <c r="C5" s="20"/>
      <c r="D5" s="18"/>
      <c r="E5" s="18"/>
      <c r="F5" s="18"/>
      <c r="G5" s="18"/>
      <c r="J5" s="18"/>
      <c r="K5" s="20"/>
      <c r="L5" s="20"/>
      <c r="M5" s="18"/>
      <c r="N5" s="18"/>
      <c r="O5" s="18"/>
      <c r="P5" s="18"/>
    </row>
    <row r="6" spans="1:16" x14ac:dyDescent="0.2">
      <c r="A6" s="18"/>
      <c r="B6" s="19"/>
      <c r="C6" s="34"/>
      <c r="D6" s="18"/>
      <c r="E6" s="18"/>
      <c r="F6" s="18"/>
      <c r="G6" s="18"/>
      <c r="J6" s="18"/>
      <c r="K6" s="19"/>
      <c r="L6" s="34"/>
      <c r="M6" s="18"/>
      <c r="N6" s="18"/>
      <c r="O6" s="18"/>
      <c r="P6" s="18"/>
    </row>
    <row r="7" spans="1:16" ht="45" x14ac:dyDescent="0.2">
      <c r="A7" s="21" t="s">
        <v>62</v>
      </c>
      <c r="B7" s="22" t="s">
        <v>69</v>
      </c>
      <c r="C7" s="22" t="s">
        <v>68</v>
      </c>
      <c r="D7" s="22" t="s">
        <v>57</v>
      </c>
      <c r="E7" s="22" t="s">
        <v>169</v>
      </c>
      <c r="F7" s="22" t="s">
        <v>176</v>
      </c>
      <c r="G7" s="21" t="s">
        <v>161</v>
      </c>
      <c r="J7" s="21" t="s">
        <v>62</v>
      </c>
      <c r="K7" s="22" t="s">
        <v>69</v>
      </c>
      <c r="L7" s="22" t="s">
        <v>68</v>
      </c>
      <c r="M7" s="22" t="s">
        <v>57</v>
      </c>
      <c r="N7" s="22" t="s">
        <v>169</v>
      </c>
      <c r="O7" s="22" t="s">
        <v>176</v>
      </c>
      <c r="P7" s="21" t="s">
        <v>161</v>
      </c>
    </row>
    <row r="8" spans="1:16" ht="22" customHeight="1" x14ac:dyDescent="0.2">
      <c r="A8" s="18" t="s">
        <v>228</v>
      </c>
      <c r="B8" s="64">
        <v>6300</v>
      </c>
      <c r="C8" s="64">
        <f>SUM(B8)</f>
        <v>6300</v>
      </c>
      <c r="D8" s="63">
        <v>0</v>
      </c>
      <c r="E8" s="64">
        <f>B8*D8</f>
        <v>0</v>
      </c>
      <c r="F8" s="64">
        <f>SUM($E$8:E8)</f>
        <v>0</v>
      </c>
      <c r="G8" s="64">
        <f t="shared" ref="G8:G9" si="0">IF(AND($B$24&gt;=$C7,$B$24&lt;$C8),$F7+($B$24-$C7)*$D8,0)</f>
        <v>0</v>
      </c>
      <c r="J8" s="18" t="s">
        <v>228</v>
      </c>
      <c r="K8" s="64">
        <v>6300</v>
      </c>
      <c r="L8" s="64">
        <f>SUM(K8)</f>
        <v>6300</v>
      </c>
      <c r="M8" s="63">
        <v>0</v>
      </c>
      <c r="N8" s="64">
        <f>K8*M8</f>
        <v>0</v>
      </c>
      <c r="O8" s="64">
        <f>SUM($N$8:N8)</f>
        <v>0</v>
      </c>
      <c r="P8" s="64">
        <f>IF(AND(($K$24/1.9)&gt;=$L7,($K$24/1.9)&lt;$L8),$O7+(($K$24/1.9)-$L7)*$M8,0)</f>
        <v>0</v>
      </c>
    </row>
    <row r="9" spans="1:16" ht="20" customHeight="1" x14ac:dyDescent="0.2">
      <c r="A9" s="18" t="s">
        <v>229</v>
      </c>
      <c r="B9" s="64">
        <v>300</v>
      </c>
      <c r="C9" s="64">
        <f>SUM(B8:B9)</f>
        <v>6600</v>
      </c>
      <c r="D9" s="63">
        <v>0.01</v>
      </c>
      <c r="E9" s="64">
        <f t="shared" ref="E9:E20" si="1">B9*D9</f>
        <v>3</v>
      </c>
      <c r="F9" s="64">
        <f>SUM($E$8:E9)</f>
        <v>3</v>
      </c>
      <c r="G9" s="64">
        <f t="shared" si="0"/>
        <v>0</v>
      </c>
      <c r="J9" s="18" t="s">
        <v>229</v>
      </c>
      <c r="K9" s="64">
        <v>300</v>
      </c>
      <c r="L9" s="64">
        <f>SUM(K8:K9)</f>
        <v>6600</v>
      </c>
      <c r="M9" s="63">
        <v>0.01</v>
      </c>
      <c r="N9" s="64">
        <f t="shared" ref="N9:N20" si="2">K9*M9</f>
        <v>3</v>
      </c>
      <c r="O9" s="64">
        <f>SUM($N$8:N9)</f>
        <v>3</v>
      </c>
      <c r="P9" s="64">
        <f t="shared" ref="O8:P20" si="3">IF(AND(($K$24/1.9)&gt;=$L8,($K$24/1.9)&lt;$L9),$O8+(($K$24/1.9)-$L8)*$M9,0)</f>
        <v>0</v>
      </c>
    </row>
    <row r="10" spans="1:16" ht="22" customHeight="1" x14ac:dyDescent="0.2">
      <c r="A10" s="18" t="s">
        <v>230</v>
      </c>
      <c r="B10" s="64">
        <v>1700</v>
      </c>
      <c r="C10" s="64">
        <f>SUM(B8:B10)</f>
        <v>8300</v>
      </c>
      <c r="D10" s="63">
        <v>0.02</v>
      </c>
      <c r="E10" s="64">
        <f t="shared" si="1"/>
        <v>34</v>
      </c>
      <c r="F10" s="64">
        <f>SUM($E$8:E10)</f>
        <v>37</v>
      </c>
      <c r="G10" s="64">
        <f>IF(AND($B$24&gt;=$C9,$B$24&lt;$C10),$F9+($B$24-$C9)*$D10,0)</f>
        <v>0</v>
      </c>
      <c r="J10" s="18" t="s">
        <v>230</v>
      </c>
      <c r="K10" s="64">
        <v>1700</v>
      </c>
      <c r="L10" s="64">
        <f>SUM(K8:K10)</f>
        <v>8300</v>
      </c>
      <c r="M10" s="63">
        <v>0.02</v>
      </c>
      <c r="N10" s="64">
        <f t="shared" si="2"/>
        <v>34</v>
      </c>
      <c r="O10" s="64">
        <f>SUM($N$8:N10)</f>
        <v>37</v>
      </c>
      <c r="P10" s="64">
        <f t="shared" si="3"/>
        <v>0</v>
      </c>
    </row>
    <row r="11" spans="1:16" ht="19" customHeight="1" x14ac:dyDescent="0.2">
      <c r="A11" s="18" t="s">
        <v>231</v>
      </c>
      <c r="B11" s="64">
        <v>2100</v>
      </c>
      <c r="C11" s="64">
        <f>SUM(B8:B11)</f>
        <v>10400</v>
      </c>
      <c r="D11" s="63">
        <v>0.03</v>
      </c>
      <c r="E11" s="64">
        <f t="shared" si="1"/>
        <v>63</v>
      </c>
      <c r="F11" s="64">
        <f>SUM($E$8:E11)</f>
        <v>100</v>
      </c>
      <c r="G11" s="64">
        <f t="shared" ref="G11:G20" si="4">IF(AND($B$24&gt;=$C10,$B$24&lt;$C11),$F10+($B$24-$C10)*$D11,0)</f>
        <v>0</v>
      </c>
      <c r="J11" s="18" t="s">
        <v>231</v>
      </c>
      <c r="K11" s="64">
        <v>2100</v>
      </c>
      <c r="L11" s="64">
        <f>SUM(K8:K11)</f>
        <v>10400</v>
      </c>
      <c r="M11" s="63">
        <v>0.03</v>
      </c>
      <c r="N11" s="64">
        <f t="shared" si="2"/>
        <v>63</v>
      </c>
      <c r="O11" s="64">
        <f>SUM($N$8:N11)</f>
        <v>100</v>
      </c>
      <c r="P11" s="64">
        <f t="shared" si="3"/>
        <v>0</v>
      </c>
    </row>
    <row r="12" spans="1:16" x14ac:dyDescent="0.2">
      <c r="A12" s="18" t="s">
        <v>67</v>
      </c>
      <c r="B12" s="64">
        <v>2300</v>
      </c>
      <c r="C12" s="64">
        <f>SUM(B8:B12)</f>
        <v>12700</v>
      </c>
      <c r="D12" s="63">
        <v>0.04</v>
      </c>
      <c r="E12" s="64">
        <f t="shared" si="1"/>
        <v>92</v>
      </c>
      <c r="F12" s="64">
        <f>SUM($E$8:E12)</f>
        <v>192</v>
      </c>
      <c r="G12" s="64">
        <f t="shared" si="4"/>
        <v>0</v>
      </c>
      <c r="J12" s="18" t="s">
        <v>67</v>
      </c>
      <c r="K12" s="64">
        <v>2300</v>
      </c>
      <c r="L12" s="64">
        <f>SUM(K8:K12)</f>
        <v>12700</v>
      </c>
      <c r="M12" s="63">
        <v>0.04</v>
      </c>
      <c r="N12" s="64">
        <f t="shared" si="2"/>
        <v>92</v>
      </c>
      <c r="O12" s="64">
        <f>SUM($N$8:N12)</f>
        <v>192</v>
      </c>
      <c r="P12" s="64">
        <f t="shared" si="3"/>
        <v>0</v>
      </c>
    </row>
    <row r="13" spans="1:16" x14ac:dyDescent="0.2">
      <c r="A13" s="18"/>
      <c r="B13" s="64">
        <v>7900</v>
      </c>
      <c r="C13" s="64">
        <f>SUM(B8:B13)</f>
        <v>20600</v>
      </c>
      <c r="D13" s="63">
        <v>0.05</v>
      </c>
      <c r="E13" s="64">
        <f t="shared" si="1"/>
        <v>395</v>
      </c>
      <c r="F13" s="64">
        <f>SUM($E$8:E13)</f>
        <v>587</v>
      </c>
      <c r="G13" s="64">
        <f t="shared" si="4"/>
        <v>0</v>
      </c>
      <c r="J13" s="18"/>
      <c r="K13" s="64">
        <v>7900</v>
      </c>
      <c r="L13" s="64">
        <f>SUM(K8:K13)</f>
        <v>20600</v>
      </c>
      <c r="M13" s="63">
        <v>0.05</v>
      </c>
      <c r="N13" s="64">
        <f t="shared" si="2"/>
        <v>395</v>
      </c>
      <c r="O13" s="64">
        <f>SUM($N$8:N13)</f>
        <v>587</v>
      </c>
      <c r="P13" s="64">
        <f t="shared" si="3"/>
        <v>0</v>
      </c>
    </row>
    <row r="14" spans="1:16" x14ac:dyDescent="0.2">
      <c r="A14" s="18"/>
      <c r="B14" s="64">
        <v>7900</v>
      </c>
      <c r="C14" s="64">
        <f>SUM(B8:B14)</f>
        <v>28500</v>
      </c>
      <c r="D14" s="63">
        <v>0.06</v>
      </c>
      <c r="E14" s="64">
        <f t="shared" si="1"/>
        <v>474</v>
      </c>
      <c r="F14" s="64">
        <f>SUM($E$8:E14)</f>
        <v>1061</v>
      </c>
      <c r="G14" s="64">
        <f t="shared" si="4"/>
        <v>0</v>
      </c>
      <c r="J14" s="18"/>
      <c r="K14" s="64">
        <v>7900</v>
      </c>
      <c r="L14" s="64">
        <f>SUM(K8:K14)</f>
        <v>28500</v>
      </c>
      <c r="M14" s="63">
        <v>0.06</v>
      </c>
      <c r="N14" s="64">
        <f t="shared" si="2"/>
        <v>474</v>
      </c>
      <c r="O14" s="64">
        <f>SUM($N$8:N14)</f>
        <v>1061</v>
      </c>
      <c r="P14" s="64">
        <f t="shared" si="3"/>
        <v>0</v>
      </c>
    </row>
    <row r="15" spans="1:16" x14ac:dyDescent="0.2">
      <c r="A15" s="18"/>
      <c r="B15" s="64">
        <v>7900</v>
      </c>
      <c r="C15" s="64">
        <f>SUM(B8:B15)</f>
        <v>36400</v>
      </c>
      <c r="D15" s="63">
        <v>7.0000000000000007E-2</v>
      </c>
      <c r="E15" s="64">
        <f t="shared" si="1"/>
        <v>553</v>
      </c>
      <c r="F15" s="64">
        <f>SUM($E$8:E15)</f>
        <v>1614</v>
      </c>
      <c r="G15" s="64">
        <f t="shared" si="4"/>
        <v>0</v>
      </c>
      <c r="J15" s="18"/>
      <c r="K15" s="64">
        <v>7900</v>
      </c>
      <c r="L15" s="64">
        <f>SUM(K8:K15)</f>
        <v>36400</v>
      </c>
      <c r="M15" s="63">
        <v>7.0000000000000007E-2</v>
      </c>
      <c r="N15" s="64">
        <f t="shared" si="2"/>
        <v>553</v>
      </c>
      <c r="O15" s="64">
        <f>SUM($N$8:N15)</f>
        <v>1614</v>
      </c>
      <c r="P15" s="64">
        <f t="shared" si="3"/>
        <v>0</v>
      </c>
    </row>
    <row r="16" spans="1:16" x14ac:dyDescent="0.2">
      <c r="A16" s="18"/>
      <c r="B16" s="64">
        <v>7900</v>
      </c>
      <c r="C16" s="64">
        <f>SUM(B8:B16)</f>
        <v>44300</v>
      </c>
      <c r="D16" s="63">
        <v>0.08</v>
      </c>
      <c r="E16" s="64">
        <f t="shared" si="1"/>
        <v>632</v>
      </c>
      <c r="F16" s="64">
        <f>SUM($E$8:E16)</f>
        <v>2246</v>
      </c>
      <c r="G16" s="64">
        <f t="shared" si="4"/>
        <v>0</v>
      </c>
      <c r="J16" s="18"/>
      <c r="K16" s="64">
        <v>7900</v>
      </c>
      <c r="L16" s="64">
        <f>SUM(K8:K16)</f>
        <v>44300</v>
      </c>
      <c r="M16" s="63">
        <v>0.08</v>
      </c>
      <c r="N16" s="64">
        <f t="shared" si="2"/>
        <v>632</v>
      </c>
      <c r="O16" s="64">
        <f>SUM($N$8:N16)</f>
        <v>2246</v>
      </c>
      <c r="P16" s="64">
        <f t="shared" si="3"/>
        <v>0</v>
      </c>
    </row>
    <row r="17" spans="1:16" x14ac:dyDescent="0.2">
      <c r="A17" s="18"/>
      <c r="B17" s="64">
        <v>12600</v>
      </c>
      <c r="C17" s="64">
        <f>SUM(B8:B17)</f>
        <v>56900</v>
      </c>
      <c r="D17" s="63">
        <v>0.09</v>
      </c>
      <c r="E17" s="64">
        <f t="shared" si="1"/>
        <v>1134</v>
      </c>
      <c r="F17" s="64">
        <f>SUM($E$8:E17)</f>
        <v>3380</v>
      </c>
      <c r="G17" s="64">
        <f>IF(AND($B$24&gt;=$C16,$B$24&lt;$C17),$F16+($B$24-$C16)*$D17,0)</f>
        <v>0</v>
      </c>
      <c r="J17" s="18"/>
      <c r="K17" s="64">
        <v>12600</v>
      </c>
      <c r="L17" s="64">
        <f>SUM(K8:K17)</f>
        <v>56900</v>
      </c>
      <c r="M17" s="63">
        <v>0.09</v>
      </c>
      <c r="N17" s="64">
        <f t="shared" si="2"/>
        <v>1134</v>
      </c>
      <c r="O17" s="64">
        <f>SUM($N$8:N17)</f>
        <v>3380</v>
      </c>
      <c r="P17" s="64">
        <f t="shared" si="3"/>
        <v>0</v>
      </c>
    </row>
    <row r="18" spans="1:16" x14ac:dyDescent="0.2">
      <c r="A18" s="18"/>
      <c r="B18" s="64">
        <v>12600</v>
      </c>
      <c r="C18" s="64">
        <f>SUM(B8:B18)</f>
        <v>69500</v>
      </c>
      <c r="D18" s="63">
        <v>0.1</v>
      </c>
      <c r="E18" s="64">
        <f t="shared" si="1"/>
        <v>1260</v>
      </c>
      <c r="F18" s="64">
        <f>SUM($E$8:E18)</f>
        <v>4640</v>
      </c>
      <c r="G18" s="64">
        <f>IF(AND($B$24&gt;=$C17,$B$24&lt;$C18),$F17+($B$24-$C17)*$D18,0)</f>
        <v>0</v>
      </c>
      <c r="J18" s="18"/>
      <c r="K18" s="64">
        <v>12600</v>
      </c>
      <c r="L18" s="64">
        <f>SUM(K8:K18)</f>
        <v>69500</v>
      </c>
      <c r="M18" s="63">
        <v>0.1</v>
      </c>
      <c r="N18" s="64">
        <f t="shared" si="2"/>
        <v>1260</v>
      </c>
      <c r="O18" s="64">
        <f>SUM($N$8:N18)</f>
        <v>4640</v>
      </c>
      <c r="P18" s="64">
        <f t="shared" si="3"/>
        <v>0</v>
      </c>
    </row>
    <row r="19" spans="1:16" x14ac:dyDescent="0.2">
      <c r="A19" s="18"/>
      <c r="B19" s="64">
        <v>71500</v>
      </c>
      <c r="C19" s="64">
        <f>SUM(B9:B19)</f>
        <v>134700</v>
      </c>
      <c r="D19" s="63">
        <v>0.11</v>
      </c>
      <c r="E19" s="64">
        <f t="shared" si="1"/>
        <v>7865</v>
      </c>
      <c r="F19" s="64">
        <f>SUM($E$8:E19)</f>
        <v>12505</v>
      </c>
      <c r="G19" s="64">
        <f t="shared" si="4"/>
        <v>0</v>
      </c>
      <c r="J19" s="18"/>
      <c r="K19" s="64">
        <v>71500</v>
      </c>
      <c r="L19" s="64">
        <f>SUM(K9:K19)</f>
        <v>134700</v>
      </c>
      <c r="M19" s="63">
        <v>0.11</v>
      </c>
      <c r="N19" s="64">
        <f t="shared" si="2"/>
        <v>7865</v>
      </c>
      <c r="O19" s="64">
        <f>SUM($N$8:N19)</f>
        <v>12505</v>
      </c>
      <c r="P19" s="64">
        <f t="shared" si="3"/>
        <v>0</v>
      </c>
    </row>
    <row r="20" spans="1:16" x14ac:dyDescent="0.2">
      <c r="A20" s="18"/>
      <c r="B20" s="64">
        <v>69100</v>
      </c>
      <c r="C20" s="64">
        <f>SUM(B8:B20)</f>
        <v>210100</v>
      </c>
      <c r="D20" s="63">
        <v>0.12</v>
      </c>
      <c r="E20" s="64">
        <f t="shared" si="1"/>
        <v>8292</v>
      </c>
      <c r="F20" s="64">
        <f>SUM($E$8:E20)</f>
        <v>20797</v>
      </c>
      <c r="G20" s="64">
        <f t="shared" si="4"/>
        <v>14341</v>
      </c>
      <c r="J20" s="18"/>
      <c r="K20" s="64">
        <v>69100</v>
      </c>
      <c r="L20" s="64">
        <f>SUM(K8:K20)</f>
        <v>210100</v>
      </c>
      <c r="M20" s="63">
        <v>0.12</v>
      </c>
      <c r="N20" s="64">
        <f t="shared" si="2"/>
        <v>8292</v>
      </c>
      <c r="O20" s="64">
        <f>SUM($N$8:N20)</f>
        <v>20797</v>
      </c>
      <c r="P20" s="64">
        <f t="shared" si="3"/>
        <v>0</v>
      </c>
    </row>
    <row r="21" spans="1:16" ht="34" customHeight="1" x14ac:dyDescent="0.2">
      <c r="A21" s="18" t="s">
        <v>232</v>
      </c>
      <c r="B21" s="18"/>
      <c r="C21" s="18"/>
      <c r="D21" s="63">
        <v>9.9000000000000005E-2</v>
      </c>
      <c r="E21" s="25"/>
      <c r="F21" s="18"/>
      <c r="G21" s="64">
        <f>IF($B$24&gt;=$C20,$B$24*$D21,0)</f>
        <v>0</v>
      </c>
      <c r="J21" s="18" t="s">
        <v>232</v>
      </c>
      <c r="K21" s="18"/>
      <c r="L21" s="18"/>
      <c r="M21" s="63">
        <v>9.9000000000000005E-2</v>
      </c>
      <c r="N21" s="25"/>
      <c r="O21" s="18"/>
      <c r="P21" s="64">
        <f>IF(($K$24/1.9)&gt;=$L20,($K$24/1.9)*$M21,0)</f>
        <v>23447.368421052633</v>
      </c>
    </row>
    <row r="22" spans="1:16" x14ac:dyDescent="0.2">
      <c r="A22" s="18"/>
      <c r="B22" s="18"/>
      <c r="C22" s="18"/>
      <c r="D22" s="24"/>
      <c r="E22" s="25"/>
      <c r="F22" s="18"/>
      <c r="G22" s="18"/>
      <c r="J22" s="18"/>
      <c r="K22" s="18"/>
      <c r="L22" s="18"/>
      <c r="M22" s="24"/>
      <c r="N22" s="25"/>
      <c r="O22" s="18"/>
      <c r="P22" s="18"/>
    </row>
    <row r="23" spans="1:16" x14ac:dyDescent="0.2">
      <c r="A23" s="18"/>
      <c r="B23" s="18"/>
      <c r="C23" s="18"/>
      <c r="D23" s="18"/>
      <c r="E23" s="25"/>
      <c r="F23" s="18"/>
      <c r="G23" s="18"/>
      <c r="J23" s="18"/>
      <c r="K23" s="18"/>
      <c r="L23" s="18"/>
      <c r="M23" s="18"/>
      <c r="N23" s="25"/>
      <c r="O23" s="18"/>
      <c r="P23" s="18"/>
    </row>
    <row r="24" spans="1:16" ht="16" customHeight="1" x14ac:dyDescent="0.2">
      <c r="A24" s="19" t="s">
        <v>175</v>
      </c>
      <c r="B24" s="64">
        <v>150000</v>
      </c>
      <c r="C24" s="18"/>
      <c r="D24" s="18"/>
      <c r="E24" s="25"/>
      <c r="F24" s="18"/>
      <c r="G24" s="18"/>
      <c r="J24" s="19" t="s">
        <v>175</v>
      </c>
      <c r="K24" s="64">
        <v>450000</v>
      </c>
      <c r="L24" s="18"/>
      <c r="M24" s="18"/>
      <c r="N24" s="25"/>
      <c r="O24" s="18"/>
      <c r="P24" s="18"/>
    </row>
    <row r="25" spans="1:16" ht="21" customHeight="1" x14ac:dyDescent="0.2">
      <c r="A25" s="19" t="s">
        <v>60</v>
      </c>
      <c r="B25" s="65">
        <f>SUM(G8:G21)</f>
        <v>14341</v>
      </c>
      <c r="C25" s="18"/>
      <c r="D25" s="18"/>
      <c r="E25" s="25"/>
      <c r="F25" s="18"/>
      <c r="G25" s="18"/>
      <c r="J25" s="19" t="s">
        <v>60</v>
      </c>
      <c r="K25" s="65">
        <f>SUM(P8:P21)</f>
        <v>23447.368421052633</v>
      </c>
      <c r="L25" s="18"/>
      <c r="M25" s="18"/>
      <c r="N25" s="25"/>
      <c r="O25" s="18"/>
      <c r="P25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2" workbookViewId="0">
      <selection activeCell="A33" sqref="A33"/>
    </sheetView>
  </sheetViews>
  <sheetFormatPr baseColWidth="10" defaultRowHeight="15" x14ac:dyDescent="0.2"/>
  <cols>
    <col min="1" max="1" width="42.5" customWidth="1"/>
    <col min="2" max="2" width="13" customWidth="1"/>
    <col min="3" max="3" width="18" customWidth="1"/>
    <col min="5" max="5" width="14.33203125" customWidth="1"/>
    <col min="6" max="6" width="18.6640625" customWidth="1"/>
    <col min="7" max="7" width="17.33203125" customWidth="1"/>
    <col min="9" max="9" width="43.6640625" customWidth="1"/>
    <col min="10" max="10" width="15.33203125" customWidth="1"/>
    <col min="11" max="11" width="14.5" customWidth="1"/>
    <col min="14" max="14" width="13" customWidth="1"/>
    <col min="15" max="15" width="11.6640625" bestFit="1" customWidth="1"/>
  </cols>
  <sheetData>
    <row r="2" spans="1:15" x14ac:dyDescent="0.2">
      <c r="A2" t="s">
        <v>197</v>
      </c>
    </row>
    <row r="3" spans="1:15" x14ac:dyDescent="0.2">
      <c r="A3" s="72" t="s">
        <v>168</v>
      </c>
      <c r="I3" s="72" t="s">
        <v>168</v>
      </c>
    </row>
    <row r="4" spans="1:15" x14ac:dyDescent="0.2">
      <c r="A4" s="1" t="s">
        <v>166</v>
      </c>
      <c r="I4" s="1" t="s">
        <v>167</v>
      </c>
    </row>
    <row r="7" spans="1:15" x14ac:dyDescent="0.2">
      <c r="A7" s="73" t="s">
        <v>62</v>
      </c>
      <c r="B7" s="73" t="s">
        <v>69</v>
      </c>
      <c r="C7" s="73" t="s">
        <v>68</v>
      </c>
      <c r="D7" s="73" t="s">
        <v>57</v>
      </c>
      <c r="E7" s="73" t="s">
        <v>190</v>
      </c>
      <c r="F7" s="73" t="s">
        <v>191</v>
      </c>
      <c r="G7" s="73" t="s">
        <v>161</v>
      </c>
      <c r="I7" s="73" t="s">
        <v>62</v>
      </c>
      <c r="J7" s="73" t="s">
        <v>69</v>
      </c>
      <c r="K7" s="73" t="s">
        <v>68</v>
      </c>
      <c r="L7" s="73" t="s">
        <v>57</v>
      </c>
      <c r="M7" s="73" t="s">
        <v>190</v>
      </c>
      <c r="N7" s="73" t="s">
        <v>191</v>
      </c>
      <c r="O7" s="73" t="s">
        <v>161</v>
      </c>
    </row>
    <row r="8" spans="1:15" ht="21" customHeight="1" x14ac:dyDescent="0.2">
      <c r="A8" s="18" t="s">
        <v>192</v>
      </c>
      <c r="B8" s="59">
        <v>1100</v>
      </c>
      <c r="C8" s="69">
        <f>SUM(B$8:B8)</f>
        <v>1100</v>
      </c>
      <c r="D8" s="68">
        <v>5.0000000000000001E-3</v>
      </c>
      <c r="E8" s="59">
        <f>(D8*B8)</f>
        <v>5.5</v>
      </c>
      <c r="F8" s="69">
        <f>SUM(E$8:E8)</f>
        <v>5.5</v>
      </c>
      <c r="G8" s="59">
        <f t="shared" ref="G8:G21" si="0">IF(AND($B$26&gt;=C7,$B$26&lt;C8),F7+($B$26-C7)*D8,0)</f>
        <v>0</v>
      </c>
      <c r="I8" s="18" t="s">
        <v>192</v>
      </c>
      <c r="J8" s="59">
        <v>2200</v>
      </c>
      <c r="K8" s="69">
        <f>SUM(J$8:J8)</f>
        <v>2200</v>
      </c>
      <c r="L8" s="68">
        <v>5.0000000000000001E-3</v>
      </c>
      <c r="M8" s="59">
        <f>(L8*J8)</f>
        <v>11</v>
      </c>
      <c r="N8" s="69">
        <f>SUM(M$8:M8)</f>
        <v>11</v>
      </c>
      <c r="O8" s="59">
        <f t="shared" ref="O8:O12" si="1">IF(AND($J$26&gt;=K7,$J$26&lt;K8),N7+($J$26-K7)*L8,0)</f>
        <v>0</v>
      </c>
    </row>
    <row r="9" spans="1:15" x14ac:dyDescent="0.2">
      <c r="A9" t="s">
        <v>193</v>
      </c>
      <c r="B9" s="59">
        <v>2200</v>
      </c>
      <c r="C9" s="69">
        <f>SUM(B$8:B9)</f>
        <v>3300</v>
      </c>
      <c r="D9" s="68">
        <v>0.01</v>
      </c>
      <c r="E9" s="59">
        <f t="shared" ref="E9:E21" si="2">(D9*B9)</f>
        <v>22</v>
      </c>
      <c r="F9" s="69">
        <f>SUM(E$8:E9)</f>
        <v>27.5</v>
      </c>
      <c r="G9" s="59">
        <f t="shared" si="0"/>
        <v>0</v>
      </c>
      <c r="I9" t="s">
        <v>193</v>
      </c>
      <c r="J9" s="59">
        <v>4400</v>
      </c>
      <c r="K9" s="69">
        <f>SUM(J$8:J9)</f>
        <v>6600</v>
      </c>
      <c r="L9" s="68">
        <v>0.01</v>
      </c>
      <c r="M9" s="59">
        <f t="shared" ref="M9:M21" si="3">(L9*J9)</f>
        <v>44</v>
      </c>
      <c r="N9" s="69">
        <f>SUM(M$8:M9)</f>
        <v>55</v>
      </c>
      <c r="O9" s="59">
        <f t="shared" si="1"/>
        <v>0</v>
      </c>
    </row>
    <row r="10" spans="1:15" x14ac:dyDescent="0.2">
      <c r="A10" t="s">
        <v>194</v>
      </c>
      <c r="B10" s="59">
        <v>2700</v>
      </c>
      <c r="C10" s="69">
        <f>SUM(B$8:B10)</f>
        <v>6000</v>
      </c>
      <c r="D10" s="68">
        <v>0.02</v>
      </c>
      <c r="E10" s="59">
        <f t="shared" si="2"/>
        <v>54</v>
      </c>
      <c r="F10" s="69">
        <f>SUM(E$8:E10)</f>
        <v>81.5</v>
      </c>
      <c r="G10" s="59">
        <f t="shared" si="0"/>
        <v>0</v>
      </c>
      <c r="I10" t="s">
        <v>194</v>
      </c>
      <c r="J10" s="59">
        <v>5400</v>
      </c>
      <c r="K10" s="69">
        <f>SUM(J$8:J10)</f>
        <v>12000</v>
      </c>
      <c r="L10" s="68">
        <v>0.02</v>
      </c>
      <c r="M10" s="59">
        <f t="shared" si="3"/>
        <v>108</v>
      </c>
      <c r="N10" s="69">
        <f>SUM(M$8:M10)</f>
        <v>163</v>
      </c>
      <c r="O10" s="59">
        <f t="shared" si="1"/>
        <v>0</v>
      </c>
    </row>
    <row r="11" spans="1:15" x14ac:dyDescent="0.2">
      <c r="A11" t="s">
        <v>195</v>
      </c>
      <c r="B11" s="59">
        <v>3700</v>
      </c>
      <c r="C11" s="69">
        <f>SUM(B$8:B11)</f>
        <v>9700</v>
      </c>
      <c r="D11" s="68">
        <v>0.03</v>
      </c>
      <c r="E11" s="59">
        <f t="shared" si="2"/>
        <v>111</v>
      </c>
      <c r="F11" s="69">
        <f>SUM(E$8:E11)</f>
        <v>192.5</v>
      </c>
      <c r="G11" s="59">
        <f t="shared" si="0"/>
        <v>0</v>
      </c>
      <c r="I11" t="s">
        <v>195</v>
      </c>
      <c r="J11" s="59">
        <v>7400</v>
      </c>
      <c r="K11" s="69">
        <f>SUM(J$8:J11)</f>
        <v>19400</v>
      </c>
      <c r="L11" s="68">
        <v>0.03</v>
      </c>
      <c r="M11" s="59">
        <f t="shared" si="3"/>
        <v>222</v>
      </c>
      <c r="N11" s="69">
        <f>SUM(M$8:M11)</f>
        <v>385</v>
      </c>
      <c r="O11" s="59">
        <f t="shared" si="1"/>
        <v>0</v>
      </c>
    </row>
    <row r="12" spans="1:15" x14ac:dyDescent="0.2">
      <c r="A12" t="s">
        <v>67</v>
      </c>
      <c r="B12" s="59">
        <v>4800</v>
      </c>
      <c r="C12" s="69">
        <f>SUM(B$8:B12)</f>
        <v>14500</v>
      </c>
      <c r="D12" s="68">
        <v>3.2500000000000001E-2</v>
      </c>
      <c r="E12" s="59">
        <f t="shared" si="2"/>
        <v>156</v>
      </c>
      <c r="F12" s="69">
        <f>SUM(E$8:E12)</f>
        <v>348.5</v>
      </c>
      <c r="G12" s="59">
        <f t="shared" si="0"/>
        <v>0</v>
      </c>
      <c r="I12" t="s">
        <v>67</v>
      </c>
      <c r="J12" s="59">
        <v>9800</v>
      </c>
      <c r="K12" s="69">
        <f>SUM(J$8:J12)</f>
        <v>29200</v>
      </c>
      <c r="L12" s="68">
        <v>3.2500000000000001E-2</v>
      </c>
      <c r="M12" s="59">
        <f t="shared" si="3"/>
        <v>318.5</v>
      </c>
      <c r="N12" s="69">
        <f>SUM(M$8:M12)</f>
        <v>703.5</v>
      </c>
      <c r="O12" s="59">
        <f t="shared" si="1"/>
        <v>0</v>
      </c>
    </row>
    <row r="13" spans="1:15" x14ac:dyDescent="0.2">
      <c r="B13" s="59">
        <v>5400</v>
      </c>
      <c r="C13" s="69">
        <f>SUM(B$8:B13)</f>
        <v>19900</v>
      </c>
      <c r="D13" s="68">
        <v>3.5000000000000003E-2</v>
      </c>
      <c r="E13" s="59">
        <f t="shared" si="2"/>
        <v>189.00000000000003</v>
      </c>
      <c r="F13" s="69">
        <f>SUM(E$8:E13)</f>
        <v>537.5</v>
      </c>
      <c r="G13" s="59">
        <f t="shared" si="0"/>
        <v>0</v>
      </c>
      <c r="J13" s="59">
        <v>11000</v>
      </c>
      <c r="K13" s="69">
        <f>SUM(J$8:J13)</f>
        <v>40200</v>
      </c>
      <c r="L13" s="68">
        <v>3.5000000000000003E-2</v>
      </c>
      <c r="M13" s="59">
        <f t="shared" si="3"/>
        <v>385.00000000000006</v>
      </c>
      <c r="N13" s="69">
        <f>SUM(M$8:M13)</f>
        <v>1088.5</v>
      </c>
      <c r="O13" s="59">
        <f>IF(AND($J$26&gt;=K12,$J$26&lt;K13),N12+($J$26-K12)*L13,0)</f>
        <v>0</v>
      </c>
    </row>
    <row r="14" spans="1:15" x14ac:dyDescent="0.2">
      <c r="B14" s="59">
        <v>5400</v>
      </c>
      <c r="C14" s="69">
        <f>SUM(B$8:B14)</f>
        <v>25300</v>
      </c>
      <c r="D14" s="68">
        <v>0.04</v>
      </c>
      <c r="E14" s="59">
        <f t="shared" si="2"/>
        <v>216</v>
      </c>
      <c r="F14" s="69">
        <f>SUM(E$8:E14)</f>
        <v>753.5</v>
      </c>
      <c r="G14" s="59">
        <f t="shared" si="0"/>
        <v>0</v>
      </c>
      <c r="J14" s="59">
        <v>11000</v>
      </c>
      <c r="K14" s="69">
        <f>SUM(J$8:J14)</f>
        <v>51200</v>
      </c>
      <c r="L14" s="68">
        <v>0.04</v>
      </c>
      <c r="M14" s="59">
        <f t="shared" si="3"/>
        <v>440</v>
      </c>
      <c r="N14" s="69">
        <f>SUM(M$8:M14)</f>
        <v>1528.5</v>
      </c>
      <c r="O14" s="59">
        <f t="shared" ref="O14:O21" si="4">IF(AND($J$26&gt;=K13,$J$26&lt;K14),N13+($J$26-K13)*L14,0)</f>
        <v>0</v>
      </c>
    </row>
    <row r="15" spans="1:15" x14ac:dyDescent="0.2">
      <c r="B15" s="59">
        <v>7500</v>
      </c>
      <c r="C15" s="69">
        <f>SUM(B$8:B15)</f>
        <v>32800</v>
      </c>
      <c r="D15" s="68">
        <v>4.4999999999999998E-2</v>
      </c>
      <c r="E15" s="59">
        <f t="shared" si="2"/>
        <v>337.5</v>
      </c>
      <c r="F15" s="69">
        <f>SUM(E$8:E15)</f>
        <v>1091</v>
      </c>
      <c r="G15" s="59">
        <f t="shared" si="0"/>
        <v>0</v>
      </c>
      <c r="J15" s="59">
        <v>15200</v>
      </c>
      <c r="K15" s="69">
        <f>SUM(J$8:J15)</f>
        <v>66400</v>
      </c>
      <c r="L15" s="68">
        <v>4.4999999999999998E-2</v>
      </c>
      <c r="M15" s="59">
        <f t="shared" si="3"/>
        <v>684</v>
      </c>
      <c r="N15" s="69">
        <f>SUM(M$8:M15)</f>
        <v>2212.5</v>
      </c>
      <c r="O15" s="59">
        <f t="shared" si="4"/>
        <v>0</v>
      </c>
    </row>
    <row r="16" spans="1:15" x14ac:dyDescent="0.2">
      <c r="B16" s="59">
        <v>10800</v>
      </c>
      <c r="C16" s="69">
        <f>SUM(B$8:B16)</f>
        <v>43600</v>
      </c>
      <c r="D16" s="68">
        <v>5.5E-2</v>
      </c>
      <c r="E16" s="59">
        <f t="shared" si="2"/>
        <v>594</v>
      </c>
      <c r="F16" s="69">
        <f>SUM(E$8:E16)</f>
        <v>1685</v>
      </c>
      <c r="G16" s="59">
        <f t="shared" si="0"/>
        <v>0</v>
      </c>
      <c r="J16" s="59">
        <v>21800</v>
      </c>
      <c r="K16" s="69">
        <f>SUM(J$8:J16)</f>
        <v>88200</v>
      </c>
      <c r="L16" s="68">
        <v>5.5E-2</v>
      </c>
      <c r="M16" s="59">
        <f t="shared" si="3"/>
        <v>1199</v>
      </c>
      <c r="N16" s="69">
        <f>SUM(M$8:M16)</f>
        <v>3411.5</v>
      </c>
      <c r="O16" s="59">
        <f t="shared" si="4"/>
        <v>0</v>
      </c>
    </row>
    <row r="17" spans="1:15" x14ac:dyDescent="0.2">
      <c r="B17" s="59">
        <v>12400</v>
      </c>
      <c r="C17" s="69">
        <f>SUM(B$8:B17)</f>
        <v>56000</v>
      </c>
      <c r="D17" s="68">
        <v>5.5E-2</v>
      </c>
      <c r="E17" s="59">
        <f t="shared" si="2"/>
        <v>682</v>
      </c>
      <c r="F17" s="69">
        <f>SUM(E$8:E17)</f>
        <v>2367</v>
      </c>
      <c r="G17" s="59">
        <f t="shared" si="0"/>
        <v>0</v>
      </c>
      <c r="J17" s="59">
        <v>25200</v>
      </c>
      <c r="K17" s="69">
        <f>SUM(J$8:J17)</f>
        <v>113400</v>
      </c>
      <c r="L17" s="68">
        <v>5.5E-2</v>
      </c>
      <c r="M17" s="59">
        <f t="shared" si="3"/>
        <v>1386</v>
      </c>
      <c r="N17" s="69">
        <f>SUM(M$8:M17)</f>
        <v>4797.5</v>
      </c>
      <c r="O17" s="59">
        <f t="shared" si="4"/>
        <v>0</v>
      </c>
    </row>
    <row r="18" spans="1:15" x14ac:dyDescent="0.2">
      <c r="B18" s="59">
        <v>14000</v>
      </c>
      <c r="C18" s="69">
        <f>SUM(B$8:B18)</f>
        <v>70000</v>
      </c>
      <c r="D18" s="68">
        <v>0.08</v>
      </c>
      <c r="E18" s="59">
        <f t="shared" si="2"/>
        <v>1120</v>
      </c>
      <c r="F18" s="69">
        <f>SUM(E$8:E18)</f>
        <v>3487</v>
      </c>
      <c r="G18" s="59">
        <f>IF(AND($B$26&gt;=C17,$B$26&lt;C18),F17+($B$26-C17)*D18,0)</f>
        <v>0</v>
      </c>
      <c r="J18" s="59">
        <v>28400</v>
      </c>
      <c r="K18" s="69">
        <f>SUM(J$8:J18)</f>
        <v>141800</v>
      </c>
      <c r="L18" s="68">
        <v>0.08</v>
      </c>
      <c r="M18" s="59">
        <f t="shared" si="3"/>
        <v>2272</v>
      </c>
      <c r="N18" s="69">
        <f>SUM(M$8:M18)</f>
        <v>7069.5</v>
      </c>
      <c r="O18" s="59">
        <f t="shared" si="4"/>
        <v>0</v>
      </c>
    </row>
    <row r="19" spans="1:15" x14ac:dyDescent="0.2">
      <c r="B19" s="59">
        <v>18900</v>
      </c>
      <c r="C19" s="69">
        <f>SUM(B$8:B19)</f>
        <v>88900</v>
      </c>
      <c r="D19" s="68">
        <v>0.115</v>
      </c>
      <c r="E19" s="59">
        <f t="shared" si="2"/>
        <v>2173.5</v>
      </c>
      <c r="F19" s="69">
        <f>SUM(E$8:E19)</f>
        <v>5660.5</v>
      </c>
      <c r="G19" s="59">
        <f t="shared" si="0"/>
        <v>0</v>
      </c>
      <c r="J19" s="59">
        <v>38200</v>
      </c>
      <c r="K19" s="69">
        <f>SUM(J$8:J19)</f>
        <v>180000</v>
      </c>
      <c r="L19" s="68">
        <v>0.115</v>
      </c>
      <c r="M19" s="59">
        <f t="shared" si="3"/>
        <v>4393</v>
      </c>
      <c r="N19" s="69">
        <f>SUM(M$8:M19)</f>
        <v>11462.5</v>
      </c>
      <c r="O19" s="59">
        <f t="shared" si="4"/>
        <v>0</v>
      </c>
    </row>
    <row r="20" spans="1:15" x14ac:dyDescent="0.2">
      <c r="B20" s="59">
        <v>23700</v>
      </c>
      <c r="C20" s="69">
        <f>SUM(B$8:B20)</f>
        <v>112600</v>
      </c>
      <c r="D20" s="68">
        <v>0.11749999999999999</v>
      </c>
      <c r="E20" s="59">
        <f t="shared" si="2"/>
        <v>2784.75</v>
      </c>
      <c r="F20" s="69">
        <f>SUM(E$8:E20)</f>
        <v>8445.25</v>
      </c>
      <c r="G20" s="59">
        <f>IF(AND($B$26&gt;=C19,$B$26&lt;C20),F19+($B$26-C19)*D20,0)</f>
        <v>0</v>
      </c>
      <c r="J20" s="59">
        <v>48000</v>
      </c>
      <c r="K20" s="69">
        <f>SUM(J$8:J20)</f>
        <v>228000</v>
      </c>
      <c r="L20" s="68">
        <v>0.11749999999999999</v>
      </c>
      <c r="M20" s="59">
        <f t="shared" si="3"/>
        <v>5640</v>
      </c>
      <c r="N20" s="69">
        <f>SUM(M$8:M20)</f>
        <v>17102.5</v>
      </c>
      <c r="O20" s="59">
        <f t="shared" si="4"/>
        <v>0</v>
      </c>
    </row>
    <row r="21" spans="1:15" x14ac:dyDescent="0.2">
      <c r="B21" s="59">
        <v>28000</v>
      </c>
      <c r="C21" s="69">
        <f>SUM(B$8:B21)</f>
        <v>140600</v>
      </c>
      <c r="D21" s="68">
        <v>0.1</v>
      </c>
      <c r="E21" s="59">
        <f t="shared" si="2"/>
        <v>2800</v>
      </c>
      <c r="F21" s="69">
        <f>SUM(E$8:E21)</f>
        <v>11245.25</v>
      </c>
      <c r="G21" s="59">
        <f t="shared" si="0"/>
        <v>0</v>
      </c>
      <c r="J21" s="59">
        <v>56800</v>
      </c>
      <c r="K21" s="69">
        <f>SUM(J$8:J21)</f>
        <v>284800</v>
      </c>
      <c r="L21" s="68">
        <v>0.1</v>
      </c>
      <c r="M21" s="59">
        <f t="shared" si="3"/>
        <v>5680</v>
      </c>
      <c r="N21" s="69">
        <f>SUM(M$8:M21)</f>
        <v>22782.5</v>
      </c>
      <c r="O21" s="59">
        <f t="shared" si="4"/>
        <v>0</v>
      </c>
    </row>
    <row r="22" spans="1:15" x14ac:dyDescent="0.2">
      <c r="A22" t="s">
        <v>196</v>
      </c>
      <c r="B22" s="59"/>
      <c r="C22" s="69"/>
      <c r="D22" s="68">
        <v>0.08</v>
      </c>
      <c r="E22" s="59"/>
      <c r="G22" s="59">
        <f>IF(B26&gt;=C21, F21+(B26-C21)*D22,0)</f>
        <v>11997.25</v>
      </c>
      <c r="I22" t="s">
        <v>196</v>
      </c>
      <c r="J22" s="59"/>
      <c r="K22" s="69"/>
      <c r="L22" s="68">
        <v>0.08</v>
      </c>
      <c r="M22" s="59"/>
      <c r="O22" s="59">
        <f>IF(J26&gt;=K21, N21+(J26-K21)*L22,0)</f>
        <v>23998.5</v>
      </c>
    </row>
    <row r="26" spans="1:15" x14ac:dyDescent="0.2">
      <c r="A26" s="1" t="s">
        <v>165</v>
      </c>
      <c r="B26" s="59">
        <v>150000</v>
      </c>
      <c r="I26" s="1" t="s">
        <v>165</v>
      </c>
      <c r="J26" s="59">
        <v>300000</v>
      </c>
    </row>
    <row r="27" spans="1:15" x14ac:dyDescent="0.2">
      <c r="A27" s="1" t="s">
        <v>60</v>
      </c>
      <c r="B27" s="59">
        <f>SUM(G8:G22)</f>
        <v>11997.25</v>
      </c>
      <c r="I27" s="1" t="s">
        <v>60</v>
      </c>
      <c r="J27" s="59">
        <f>SUM(O8:O22)</f>
        <v>23998.5</v>
      </c>
    </row>
    <row r="31" spans="1:15" x14ac:dyDescent="0.2">
      <c r="A31" t="s">
        <v>198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G13" sqref="G13"/>
    </sheetView>
  </sheetViews>
  <sheetFormatPr baseColWidth="10" defaultRowHeight="15" x14ac:dyDescent="0.2"/>
  <cols>
    <col min="1" max="1" width="42.1640625" customWidth="1"/>
    <col min="2" max="2" width="17.83203125" customWidth="1"/>
    <col min="3" max="3" width="13.6640625" customWidth="1"/>
    <col min="5" max="5" width="13.33203125" customWidth="1"/>
    <col min="6" max="6" width="17.6640625" customWidth="1"/>
    <col min="7" max="7" width="15" customWidth="1"/>
    <col min="9" max="9" width="43.5" customWidth="1"/>
    <col min="10" max="10" width="15.83203125" customWidth="1"/>
    <col min="11" max="11" width="18.1640625" customWidth="1"/>
    <col min="13" max="13" width="13.1640625" customWidth="1"/>
    <col min="14" max="14" width="15" customWidth="1"/>
  </cols>
  <sheetData>
    <row r="2" spans="1:15" x14ac:dyDescent="0.2">
      <c r="A2" t="s">
        <v>208</v>
      </c>
    </row>
    <row r="3" spans="1:15" x14ac:dyDescent="0.2">
      <c r="A3" s="72" t="s">
        <v>168</v>
      </c>
      <c r="I3" s="72" t="s">
        <v>168</v>
      </c>
    </row>
    <row r="4" spans="1:15" x14ac:dyDescent="0.2">
      <c r="A4" s="1" t="s">
        <v>166</v>
      </c>
      <c r="I4" s="1" t="s">
        <v>167</v>
      </c>
    </row>
    <row r="7" spans="1:15" x14ac:dyDescent="0.2">
      <c r="A7" s="73" t="s">
        <v>62</v>
      </c>
      <c r="B7" s="73" t="s">
        <v>69</v>
      </c>
      <c r="C7" s="73" t="s">
        <v>68</v>
      </c>
      <c r="D7" s="73" t="s">
        <v>57</v>
      </c>
      <c r="E7" s="73" t="s">
        <v>190</v>
      </c>
      <c r="F7" s="73" t="s">
        <v>191</v>
      </c>
      <c r="G7" s="73" t="s">
        <v>161</v>
      </c>
      <c r="I7" s="73" t="s">
        <v>62</v>
      </c>
      <c r="J7" s="73" t="s">
        <v>69</v>
      </c>
      <c r="K7" s="73" t="s">
        <v>68</v>
      </c>
      <c r="L7" s="73" t="s">
        <v>57</v>
      </c>
      <c r="M7" s="73" t="s">
        <v>190</v>
      </c>
      <c r="N7" s="73" t="s">
        <v>191</v>
      </c>
      <c r="O7" s="73" t="s">
        <v>161</v>
      </c>
    </row>
    <row r="8" spans="1:15" ht="16" customHeight="1" x14ac:dyDescent="0.2">
      <c r="A8" s="18" t="s">
        <v>199</v>
      </c>
      <c r="B8" s="59">
        <v>9400</v>
      </c>
      <c r="C8" s="69">
        <f>SUM(B$8:B8)</f>
        <v>9400</v>
      </c>
      <c r="D8" s="68">
        <v>0</v>
      </c>
      <c r="E8" s="59">
        <f>(D8*B8)</f>
        <v>0</v>
      </c>
      <c r="F8" s="69">
        <f>SUM(E$8:E8)</f>
        <v>0</v>
      </c>
      <c r="G8" s="59">
        <f t="shared" ref="G8:G18" si="0">IF(AND($B$23&gt;=C7,$B$23&lt;C8),F7+($B$23-C7)*D8,0)</f>
        <v>0</v>
      </c>
      <c r="I8" s="18" t="s">
        <v>203</v>
      </c>
      <c r="J8" s="59">
        <v>18800</v>
      </c>
      <c r="K8" s="69">
        <f>SUM(J$8:J8)</f>
        <v>18800</v>
      </c>
      <c r="L8" s="68">
        <v>0</v>
      </c>
      <c r="M8" s="59">
        <f>(L8*J8)</f>
        <v>0</v>
      </c>
      <c r="N8" s="69">
        <f>SUM(M$8:M8)</f>
        <v>0</v>
      </c>
      <c r="O8" s="59">
        <f t="shared" ref="O8:O15" si="1">IF(AND($J$23&gt;=K7,$J$23&lt;K8),N7+($J$23-K7)*L8,0)</f>
        <v>0</v>
      </c>
    </row>
    <row r="9" spans="1:15" x14ac:dyDescent="0.2">
      <c r="A9" t="s">
        <v>200</v>
      </c>
      <c r="B9" s="59">
        <v>2300</v>
      </c>
      <c r="C9" s="69">
        <f>SUM(B$8:B9)</f>
        <v>11700</v>
      </c>
      <c r="D9" s="68">
        <v>5.0000000000000001E-3</v>
      </c>
      <c r="E9" s="59">
        <f t="shared" ref="E9:E18" si="2">(D9*B9)</f>
        <v>11.5</v>
      </c>
      <c r="F9" s="69">
        <f>SUM(E$8:E9)</f>
        <v>11.5</v>
      </c>
      <c r="G9" s="59">
        <f t="shared" si="0"/>
        <v>0</v>
      </c>
      <c r="I9" t="s">
        <v>204</v>
      </c>
      <c r="J9" s="59">
        <v>3900</v>
      </c>
      <c r="K9" s="69">
        <f>SUM(J$8:J9)</f>
        <v>22700</v>
      </c>
      <c r="L9" s="68">
        <v>5.0000000000000001E-3</v>
      </c>
      <c r="M9" s="59">
        <f t="shared" ref="M9:M12" si="3">(L9*J9)</f>
        <v>19.5</v>
      </c>
      <c r="N9" s="69">
        <f>SUM(M$8:M9)</f>
        <v>19.5</v>
      </c>
      <c r="O9" s="59">
        <f t="shared" si="1"/>
        <v>0</v>
      </c>
    </row>
    <row r="10" spans="1:15" x14ac:dyDescent="0.2">
      <c r="A10" t="s">
        <v>201</v>
      </c>
      <c r="B10" s="59">
        <v>3000</v>
      </c>
      <c r="C10" s="69">
        <f>SUM(B$8:B10)</f>
        <v>14700</v>
      </c>
      <c r="D10" s="68">
        <v>0.01</v>
      </c>
      <c r="E10" s="59">
        <f t="shared" si="2"/>
        <v>30</v>
      </c>
      <c r="F10" s="69">
        <f>SUM(E$8:E10)</f>
        <v>41.5</v>
      </c>
      <c r="G10" s="59">
        <f t="shared" si="0"/>
        <v>0</v>
      </c>
      <c r="I10" t="s">
        <v>205</v>
      </c>
      <c r="J10" s="59">
        <v>1000</v>
      </c>
      <c r="K10" s="69">
        <f>SUM(J$8:J10)</f>
        <v>23700</v>
      </c>
      <c r="L10" s="68">
        <v>1.4999999999999999E-2</v>
      </c>
      <c r="M10" s="59">
        <f t="shared" si="3"/>
        <v>15</v>
      </c>
      <c r="N10" s="69">
        <f>SUM(M$8:M10)</f>
        <v>34.5</v>
      </c>
      <c r="O10" s="59">
        <f t="shared" si="1"/>
        <v>0</v>
      </c>
    </row>
    <row r="11" spans="1:15" x14ac:dyDescent="0.2">
      <c r="A11" t="s">
        <v>202</v>
      </c>
      <c r="B11" s="59">
        <v>1100</v>
      </c>
      <c r="C11" s="69">
        <f>SUM(B$8:B11)</f>
        <v>15800</v>
      </c>
      <c r="D11" s="68">
        <v>0.02</v>
      </c>
      <c r="E11" s="59">
        <f t="shared" si="2"/>
        <v>22</v>
      </c>
      <c r="F11" s="69">
        <f>SUM(E$8:E11)</f>
        <v>63.5</v>
      </c>
      <c r="G11" s="59">
        <f t="shared" si="0"/>
        <v>0</v>
      </c>
      <c r="I11" t="s">
        <v>202</v>
      </c>
      <c r="J11" s="59">
        <v>1100</v>
      </c>
      <c r="K11" s="69">
        <f>SUM(J$8:J11)</f>
        <v>24800</v>
      </c>
      <c r="L11" s="68">
        <v>2.5000000000000001E-2</v>
      </c>
      <c r="M11" s="59">
        <f t="shared" si="3"/>
        <v>27.5</v>
      </c>
      <c r="N11" s="69">
        <f>SUM(M$8:M11)</f>
        <v>62</v>
      </c>
      <c r="O11" s="59">
        <f t="shared" si="1"/>
        <v>0</v>
      </c>
    </row>
    <row r="12" spans="1:15" x14ac:dyDescent="0.2">
      <c r="A12" t="s">
        <v>67</v>
      </c>
      <c r="B12" s="59">
        <v>1100</v>
      </c>
      <c r="C12" s="69">
        <f>SUM(B$8:B12)</f>
        <v>16900</v>
      </c>
      <c r="D12" s="68">
        <v>0.03</v>
      </c>
      <c r="E12" s="59">
        <f t="shared" si="2"/>
        <v>33</v>
      </c>
      <c r="F12" s="69">
        <f>SUM(E$8:E12)</f>
        <v>96.5</v>
      </c>
      <c r="G12" s="59">
        <f t="shared" si="0"/>
        <v>0</v>
      </c>
      <c r="I12" t="s">
        <v>67</v>
      </c>
      <c r="J12" s="59">
        <v>2000</v>
      </c>
      <c r="K12" s="69">
        <f>SUM(J$8:J12)</f>
        <v>26800</v>
      </c>
      <c r="L12" s="68">
        <v>0.03</v>
      </c>
      <c r="M12" s="59">
        <f t="shared" si="3"/>
        <v>60</v>
      </c>
      <c r="N12" s="69">
        <f>SUM(M$8:M12)</f>
        <v>122</v>
      </c>
      <c r="O12" s="59">
        <f t="shared" si="1"/>
        <v>0</v>
      </c>
    </row>
    <row r="13" spans="1:15" x14ac:dyDescent="0.2">
      <c r="B13" s="59">
        <v>2700</v>
      </c>
      <c r="C13" s="69">
        <f>SUM(B$8:B13)</f>
        <v>19600</v>
      </c>
      <c r="D13" s="68">
        <v>0.04</v>
      </c>
      <c r="E13" s="59">
        <f t="shared" si="2"/>
        <v>108</v>
      </c>
      <c r="F13" s="69">
        <f>SUM(E$8:E13)</f>
        <v>204.5</v>
      </c>
      <c r="G13" s="59">
        <f t="shared" si="0"/>
        <v>0</v>
      </c>
      <c r="J13" s="59">
        <v>4000</v>
      </c>
      <c r="K13" s="69">
        <f>SUM(J$8:J13)</f>
        <v>30800</v>
      </c>
      <c r="L13" s="68">
        <v>3.5000000000000003E-2</v>
      </c>
      <c r="M13" s="59">
        <f>(L14*J13)</f>
        <v>180</v>
      </c>
      <c r="N13" s="69">
        <f>SUM(M$8:M13)</f>
        <v>302</v>
      </c>
      <c r="O13" s="59">
        <f t="shared" si="1"/>
        <v>0</v>
      </c>
    </row>
    <row r="14" spans="1:15" x14ac:dyDescent="0.2">
      <c r="B14" s="59">
        <v>4100</v>
      </c>
      <c r="C14" s="69">
        <f>SUM(B$8:B14)</f>
        <v>23700</v>
      </c>
      <c r="D14" s="68">
        <v>4.4999999999999998E-2</v>
      </c>
      <c r="E14" s="59">
        <f t="shared" si="2"/>
        <v>184.5</v>
      </c>
      <c r="F14" s="69">
        <f>SUM(E$8:E14)</f>
        <v>389</v>
      </c>
      <c r="G14" s="59">
        <f t="shared" si="0"/>
        <v>0</v>
      </c>
      <c r="J14" s="59">
        <v>63000</v>
      </c>
      <c r="K14" s="69">
        <f>SUM(J$8:J14)</f>
        <v>93800</v>
      </c>
      <c r="L14" s="68">
        <v>4.4999999999999998E-2</v>
      </c>
      <c r="M14" s="59">
        <f>(L15*J14)</f>
        <v>3150</v>
      </c>
      <c r="N14" s="69">
        <f>SUM(M$8:M14)</f>
        <v>3452</v>
      </c>
      <c r="O14" s="59">
        <f t="shared" si="1"/>
        <v>0</v>
      </c>
    </row>
    <row r="15" spans="1:15" x14ac:dyDescent="0.2">
      <c r="B15" s="59">
        <v>80500</v>
      </c>
      <c r="C15" s="69">
        <f>SUM(B$8:B15)</f>
        <v>104200</v>
      </c>
      <c r="D15" s="68">
        <v>0.05</v>
      </c>
      <c r="E15" s="59">
        <f t="shared" si="2"/>
        <v>4025</v>
      </c>
      <c r="F15" s="69">
        <f>SUM(E$8:E15)</f>
        <v>4414</v>
      </c>
      <c r="G15" s="59">
        <f t="shared" si="0"/>
        <v>0</v>
      </c>
      <c r="J15" s="59">
        <v>36800</v>
      </c>
      <c r="K15" s="69">
        <f>SUM(J$8:J15)</f>
        <v>130600</v>
      </c>
      <c r="L15" s="68">
        <v>0.05</v>
      </c>
      <c r="M15" s="59">
        <f>(L16*J15)</f>
        <v>2024</v>
      </c>
      <c r="N15" s="69">
        <f>SUM(M$8:M15)</f>
        <v>5476</v>
      </c>
      <c r="O15" s="59">
        <f t="shared" si="1"/>
        <v>0</v>
      </c>
    </row>
    <row r="16" spans="1:15" x14ac:dyDescent="0.2">
      <c r="B16" s="59">
        <v>50900</v>
      </c>
      <c r="C16" s="69">
        <f>SUM(B$8:B16)</f>
        <v>155100</v>
      </c>
      <c r="D16" s="68">
        <v>5.2499999999999998E-2</v>
      </c>
      <c r="E16" s="59">
        <f t="shared" si="2"/>
        <v>2672.25</v>
      </c>
      <c r="F16" s="69">
        <f>SUM(E$8:E16)</f>
        <v>7086.25</v>
      </c>
      <c r="G16" s="59">
        <f t="shared" si="0"/>
        <v>6818.5</v>
      </c>
      <c r="J16" s="59">
        <v>20000</v>
      </c>
      <c r="K16" s="69">
        <f>SUM(J$8:J16)</f>
        <v>150600</v>
      </c>
      <c r="L16" s="68">
        <v>5.5E-2</v>
      </c>
      <c r="M16" s="59">
        <f>(L17*J16)</f>
        <v>1160</v>
      </c>
      <c r="N16" s="69">
        <f>SUM(M$8:M16)</f>
        <v>6636</v>
      </c>
      <c r="O16" s="59">
        <f>IF(AND($J$23&gt;=K15,$J$23&lt;K16),N15+($J$23-K15)*L16,0)</f>
        <v>6268</v>
      </c>
    </row>
    <row r="17" spans="1:15" x14ac:dyDescent="0.2">
      <c r="B17" s="59">
        <v>25000</v>
      </c>
      <c r="C17" s="69">
        <f>SUM(B$8:B17)</f>
        <v>180100</v>
      </c>
      <c r="D17" s="68">
        <v>5.5E-2</v>
      </c>
      <c r="E17" s="59">
        <f t="shared" si="2"/>
        <v>1375</v>
      </c>
      <c r="F17" s="69">
        <f>SUM(E$8:E17)</f>
        <v>8461.25</v>
      </c>
      <c r="G17" s="59">
        <f t="shared" si="0"/>
        <v>0</v>
      </c>
      <c r="J17" s="59">
        <v>1198300</v>
      </c>
      <c r="K17" s="69">
        <f>SUM(J$8:J17)</f>
        <v>1348900</v>
      </c>
      <c r="L17" s="68">
        <v>5.8000000000000003E-2</v>
      </c>
      <c r="M17" s="59">
        <f>(L17*J17)</f>
        <v>69501.400000000009</v>
      </c>
      <c r="N17" s="69">
        <f>SUM(M$8:M17)</f>
        <v>76137.400000000009</v>
      </c>
      <c r="O17" s="59">
        <f>IF(AND($J$23&gt;=K16,$J$23&lt;K17),N16+($J$23-K16)*L17,0)</f>
        <v>0</v>
      </c>
    </row>
    <row r="18" spans="1:15" x14ac:dyDescent="0.2">
      <c r="B18" s="59">
        <v>1804400</v>
      </c>
      <c r="C18" s="69">
        <f>SUM(B$8:B18)</f>
        <v>1984500</v>
      </c>
      <c r="D18" s="68">
        <v>5.8000000000000003E-2</v>
      </c>
      <c r="E18" s="59">
        <f t="shared" si="2"/>
        <v>104655.20000000001</v>
      </c>
      <c r="F18" s="69">
        <f>SUM(E$8:E18)</f>
        <v>113116.45000000001</v>
      </c>
      <c r="G18" s="59">
        <f t="shared" si="0"/>
        <v>0</v>
      </c>
      <c r="I18" t="s">
        <v>207</v>
      </c>
      <c r="J18" s="59"/>
      <c r="K18" s="69"/>
      <c r="L18" s="68">
        <v>5.6000000000000001E-2</v>
      </c>
      <c r="M18" s="59"/>
      <c r="N18" s="69"/>
      <c r="O18" s="59">
        <f>IF(J23&gt;=K17,M18+( J23-K18)*L18,0)</f>
        <v>0</v>
      </c>
    </row>
    <row r="19" spans="1:15" x14ac:dyDescent="0.2">
      <c r="A19" t="s">
        <v>206</v>
      </c>
      <c r="B19" s="59"/>
      <c r="C19" s="69"/>
      <c r="D19" s="68">
        <v>5.7000000000000002E-2</v>
      </c>
      <c r="E19" s="59"/>
      <c r="G19" s="59">
        <f>IF(B23&gt;=C18,E18+( B23-C18)*D19,0)</f>
        <v>0</v>
      </c>
      <c r="J19" s="59"/>
      <c r="K19" s="69"/>
      <c r="M19" s="59"/>
    </row>
    <row r="23" spans="1:15" x14ac:dyDescent="0.2">
      <c r="A23" s="1" t="s">
        <v>165</v>
      </c>
      <c r="B23" s="59">
        <v>150000</v>
      </c>
      <c r="I23" s="1" t="s">
        <v>165</v>
      </c>
      <c r="J23" s="59">
        <v>145000</v>
      </c>
    </row>
    <row r="24" spans="1:15" x14ac:dyDescent="0.2">
      <c r="A24" s="1" t="s">
        <v>60</v>
      </c>
      <c r="B24" s="59">
        <f>SUM(G8:G19)</f>
        <v>6818.5</v>
      </c>
      <c r="I24" s="1" t="s">
        <v>60</v>
      </c>
      <c r="J24" s="59">
        <f>SUM(O8:O18)</f>
        <v>6268</v>
      </c>
    </row>
    <row r="28" spans="1:15" x14ac:dyDescent="0.2">
      <c r="A28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3" sqref="A13"/>
    </sheetView>
  </sheetViews>
  <sheetFormatPr baseColWidth="10" defaultRowHeight="15" x14ac:dyDescent="0.2"/>
  <cols>
    <col min="1" max="1" width="28.1640625" customWidth="1"/>
    <col min="2" max="2" width="32.83203125" customWidth="1"/>
    <col min="3" max="3" width="25.5" customWidth="1"/>
    <col min="5" max="5" width="12" customWidth="1"/>
    <col min="6" max="6" width="12.6640625" customWidth="1"/>
    <col min="7" max="7" width="23.1640625" customWidth="1"/>
  </cols>
  <sheetData>
    <row r="1" spans="1:7" x14ac:dyDescent="0.2">
      <c r="A1" t="s">
        <v>223</v>
      </c>
    </row>
    <row r="3" spans="1:7" x14ac:dyDescent="0.2">
      <c r="A3" s="72" t="s">
        <v>168</v>
      </c>
    </row>
    <row r="4" spans="1:7" x14ac:dyDescent="0.2">
      <c r="A4" s="1" t="s">
        <v>166</v>
      </c>
    </row>
    <row r="5" spans="1:7" x14ac:dyDescent="0.2">
      <c r="A5" s="73" t="s">
        <v>221</v>
      </c>
      <c r="B5" s="73" t="s">
        <v>222</v>
      </c>
      <c r="C5" s="73" t="s">
        <v>219</v>
      </c>
      <c r="D5" s="73" t="s">
        <v>210</v>
      </c>
      <c r="E5" s="73" t="s">
        <v>211</v>
      </c>
      <c r="F5" s="73" t="s">
        <v>212</v>
      </c>
      <c r="G5" s="73" t="s">
        <v>161</v>
      </c>
    </row>
    <row r="6" spans="1:7" x14ac:dyDescent="0.2">
      <c r="A6" s="59">
        <v>15894</v>
      </c>
      <c r="B6" s="59">
        <v>42384</v>
      </c>
      <c r="C6" t="s">
        <v>213</v>
      </c>
      <c r="D6">
        <v>-0.822905</v>
      </c>
      <c r="E6">
        <v>8.9718000000000006E-2</v>
      </c>
      <c r="F6">
        <v>788.632565</v>
      </c>
      <c r="G6">
        <f>IF(AND($B$11&gt;=A6,$B$11&lt;=B6),D6*$B$11+E6*$B$11*(LN($B$11)-1)+F6,0)</f>
        <v>0</v>
      </c>
    </row>
    <row r="7" spans="1:7" x14ac:dyDescent="0.2">
      <c r="A7" s="59">
        <v>42385</v>
      </c>
      <c r="B7" s="59">
        <v>105961</v>
      </c>
      <c r="C7" t="s">
        <v>214</v>
      </c>
      <c r="D7">
        <v>-0.32630700000000001</v>
      </c>
      <c r="E7">
        <v>4.3109000000000001E-2</v>
      </c>
      <c r="F7" s="74">
        <v>-1186.893636</v>
      </c>
      <c r="G7">
        <f t="shared" ref="G7:G8" si="0">IF(AND($B$11&gt;=A7,$B$11&lt;=B7),D7*$B$11+E7*$B$11*(LN($B$11)-1)+F7,0)</f>
        <v>11502.576750940159</v>
      </c>
    </row>
    <row r="8" spans="1:7" x14ac:dyDescent="0.2">
      <c r="A8" s="59">
        <v>105962</v>
      </c>
      <c r="B8" s="59">
        <v>1218558</v>
      </c>
      <c r="C8" t="s">
        <v>215</v>
      </c>
      <c r="D8">
        <v>5.1688999999999999E-2</v>
      </c>
      <c r="E8">
        <v>1.0441000000000001E-2</v>
      </c>
      <c r="F8" s="74">
        <v>-4648.4534160000003</v>
      </c>
      <c r="G8">
        <f>IF(AND($B$11&gt;=A8,$B$11&lt;=B8),D8*$B$11+E8*$B$11*(LN($B$11)-1)+F8,0)</f>
        <v>0</v>
      </c>
    </row>
    <row r="9" spans="1:7" x14ac:dyDescent="0.2">
      <c r="A9" s="59">
        <v>1218558</v>
      </c>
      <c r="B9" t="s">
        <v>218</v>
      </c>
      <c r="C9" t="s">
        <v>216</v>
      </c>
      <c r="D9" t="s">
        <v>217</v>
      </c>
      <c r="E9" t="s">
        <v>218</v>
      </c>
      <c r="F9" t="s">
        <v>218</v>
      </c>
    </row>
    <row r="11" spans="1:7" x14ac:dyDescent="0.2">
      <c r="A11" s="1" t="s">
        <v>183</v>
      </c>
      <c r="B11" s="59">
        <v>100000</v>
      </c>
    </row>
    <row r="12" spans="1:7" x14ac:dyDescent="0.2">
      <c r="A12" s="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Delta-Rechner</vt:lpstr>
      <vt:lpstr>Kantone</vt:lpstr>
      <vt:lpstr>AG (F)</vt:lpstr>
      <vt:lpstr>BE (F)</vt:lpstr>
      <vt:lpstr>BS (F)</vt:lpstr>
      <vt:lpstr>SH</vt:lpstr>
      <vt:lpstr>ZG (F)</vt:lpstr>
      <vt:lpstr>LU (F)</vt:lpstr>
      <vt:lpstr>BL (U)</vt:lpstr>
      <vt:lpstr>Tabelle1</vt:lpstr>
      <vt:lpstr>ZH (F)</vt:lpstr>
      <vt:lpstr>SZ (F)</vt:lpstr>
      <vt:lpstr>Änderungsliste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Microsoft Office-Anwender</cp:lastModifiedBy>
  <dcterms:created xsi:type="dcterms:W3CDTF">2016-09-30T06:07:40Z</dcterms:created>
  <dcterms:modified xsi:type="dcterms:W3CDTF">2016-12-29T15:17:16Z</dcterms:modified>
</cp:coreProperties>
</file>